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rcracuk-my.sharepoint.com/personal/dastmp_rcr_ac_uk/Documents/Power BI/Census reports and data checks/2023 census data/"/>
    </mc:Choice>
  </mc:AlternateContent>
  <xr:revisionPtr revIDLastSave="0" documentId="8_{BEFD7348-3B3D-4DB5-A575-DA111701A10D}" xr6:coauthVersionLast="47" xr6:coauthVersionMax="47" xr10:uidLastSave="{00000000-0000-0000-0000-000000000000}"/>
  <bookViews>
    <workbookView xWindow="-110" yWindow="-110" windowWidth="19420" windowHeight="11620" xr2:uid="{C970605F-CD8E-47D6-BEE7-02CE71FF1911}"/>
  </bookViews>
  <sheets>
    <sheet name="UK National CR data 2023" sheetId="8" r:id="rId1"/>
    <sheet name="UK Regional CR data 2023" sheetId="12" r:id="rId2"/>
    <sheet name="Methodology" sheetId="11" r:id="rId3"/>
    <sheet name="Trusts HBs and regions" sheetId="13" r:id="rId4"/>
  </sheets>
  <definedNames>
    <definedName name="_xlnm._FilterDatabase" localSheetId="3" hidden="1">'Trusts HBs and regions'!$A$1:$D$1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8" i="8" l="1"/>
  <c r="S92" i="12"/>
  <c r="S91" i="12"/>
  <c r="R92" i="12"/>
  <c r="Q92" i="12"/>
  <c r="P92" i="12"/>
  <c r="O92" i="12"/>
  <c r="N92" i="12"/>
  <c r="M92" i="12"/>
  <c r="L92" i="12"/>
  <c r="K92" i="12"/>
  <c r="J92" i="12"/>
  <c r="I92" i="12"/>
  <c r="H92" i="12"/>
  <c r="G92" i="12"/>
  <c r="F92" i="12"/>
  <c r="E92" i="12"/>
  <c r="D92" i="12"/>
  <c r="C92" i="12"/>
  <c r="K88" i="12"/>
  <c r="K86" i="12"/>
  <c r="K85" i="12"/>
  <c r="K84" i="12"/>
  <c r="J88" i="12"/>
  <c r="J86" i="12"/>
  <c r="J85" i="12"/>
  <c r="J84" i="12"/>
  <c r="F88" i="12"/>
  <c r="F86" i="12"/>
  <c r="F85" i="12"/>
  <c r="F84" i="12"/>
  <c r="F87" i="12" l="1"/>
  <c r="F89" i="12" s="1"/>
  <c r="F90" i="12" s="1"/>
  <c r="F71" i="12" s="1"/>
  <c r="K87" i="12"/>
  <c r="K89" i="12" s="1"/>
  <c r="K90" i="12" s="1"/>
  <c r="K71" i="12" s="1"/>
  <c r="J87" i="12"/>
  <c r="J89" i="12" s="1"/>
  <c r="J90" i="12" s="1"/>
  <c r="J71" i="12" s="1"/>
  <c r="R47" i="12" l="1"/>
  <c r="Q47" i="12"/>
  <c r="P47" i="12"/>
  <c r="O47" i="12"/>
  <c r="N47" i="12"/>
  <c r="M47" i="12"/>
  <c r="L47" i="12"/>
  <c r="K47" i="12"/>
  <c r="J47" i="12"/>
  <c r="I47" i="12"/>
  <c r="H47" i="12"/>
  <c r="G47" i="12"/>
  <c r="R14" i="12"/>
  <c r="Q14" i="12"/>
  <c r="P14" i="12"/>
  <c r="O14" i="12"/>
  <c r="N14" i="12"/>
  <c r="M14" i="12"/>
  <c r="L14" i="12"/>
  <c r="K14" i="12"/>
  <c r="J14" i="12"/>
  <c r="I14" i="12"/>
  <c r="H14" i="12"/>
  <c r="G14" i="12"/>
  <c r="F14" i="12"/>
  <c r="E14" i="12"/>
  <c r="D14" i="12"/>
  <c r="S13" i="12"/>
  <c r="C14" i="12"/>
  <c r="S12" i="12"/>
  <c r="R43" i="12"/>
  <c r="Q43" i="12"/>
  <c r="P43" i="12"/>
  <c r="O43" i="12"/>
  <c r="N43" i="12"/>
  <c r="M43" i="12"/>
  <c r="L43" i="12"/>
  <c r="K43" i="12"/>
  <c r="J43" i="12"/>
  <c r="I43" i="12"/>
  <c r="H43" i="12"/>
  <c r="G43" i="12"/>
  <c r="F43" i="12"/>
  <c r="E43" i="12"/>
  <c r="D43" i="12"/>
  <c r="C43" i="12"/>
  <c r="I88" i="12"/>
  <c r="I86" i="12"/>
  <c r="I85" i="12"/>
  <c r="I84" i="12"/>
  <c r="H88" i="12"/>
  <c r="H86" i="12"/>
  <c r="H85" i="12"/>
  <c r="H84" i="12"/>
  <c r="G88" i="12"/>
  <c r="G86" i="12"/>
  <c r="G85" i="12"/>
  <c r="G84" i="12"/>
  <c r="E88" i="12"/>
  <c r="E86" i="12"/>
  <c r="E85" i="12"/>
  <c r="E84" i="12"/>
  <c r="D88" i="12"/>
  <c r="D86" i="12"/>
  <c r="D85" i="12"/>
  <c r="D84" i="12"/>
  <c r="R27" i="12"/>
  <c r="Q27" i="12"/>
  <c r="P27" i="12"/>
  <c r="O27" i="12"/>
  <c r="N27" i="12"/>
  <c r="M27" i="12"/>
  <c r="L27" i="12"/>
  <c r="K27" i="12"/>
  <c r="J27" i="12"/>
  <c r="I27" i="12"/>
  <c r="H27" i="12"/>
  <c r="G27" i="12"/>
  <c r="F27" i="12"/>
  <c r="E27" i="12"/>
  <c r="D27" i="12"/>
  <c r="R26" i="12"/>
  <c r="Q26" i="12"/>
  <c r="P26" i="12"/>
  <c r="O26" i="12"/>
  <c r="N26" i="12"/>
  <c r="M26" i="12"/>
  <c r="L26" i="12"/>
  <c r="K26" i="12"/>
  <c r="J26" i="12"/>
  <c r="I26" i="12"/>
  <c r="H26" i="12"/>
  <c r="G26" i="12"/>
  <c r="F26" i="12"/>
  <c r="E26" i="12"/>
  <c r="D26" i="12"/>
  <c r="S25" i="12"/>
  <c r="S44" i="12"/>
  <c r="S41" i="12"/>
  <c r="S31" i="12"/>
  <c r="C74" i="12"/>
  <c r="D74" i="12"/>
  <c r="L72" i="12"/>
  <c r="K72" i="12"/>
  <c r="J72" i="12"/>
  <c r="F72" i="12"/>
  <c r="R74" i="12"/>
  <c r="Q74" i="12"/>
  <c r="P74" i="12"/>
  <c r="N74" i="12"/>
  <c r="M74" i="12"/>
  <c r="L74" i="12"/>
  <c r="K74" i="12"/>
  <c r="J74" i="12"/>
  <c r="I74" i="12"/>
  <c r="H74" i="12"/>
  <c r="G74" i="12"/>
  <c r="F74" i="12"/>
  <c r="R52" i="12"/>
  <c r="Q52" i="12"/>
  <c r="P52" i="12"/>
  <c r="O52" i="12"/>
  <c r="N52" i="12"/>
  <c r="M52" i="12"/>
  <c r="L52" i="12"/>
  <c r="K52" i="12"/>
  <c r="J52" i="12"/>
  <c r="I52" i="12"/>
  <c r="H52" i="12"/>
  <c r="G52" i="12"/>
  <c r="F52" i="12"/>
  <c r="E52" i="12"/>
  <c r="D52" i="12"/>
  <c r="R51" i="12"/>
  <c r="Q51" i="12"/>
  <c r="P51" i="12"/>
  <c r="O51" i="12"/>
  <c r="N51" i="12"/>
  <c r="M51" i="12"/>
  <c r="L51" i="12"/>
  <c r="K51" i="12"/>
  <c r="J51" i="12"/>
  <c r="I51" i="12"/>
  <c r="H51" i="12"/>
  <c r="G51" i="12"/>
  <c r="F51" i="12"/>
  <c r="E51" i="12"/>
  <c r="D51" i="12"/>
  <c r="I87" i="12" l="1"/>
  <c r="I89" i="12" s="1"/>
  <c r="I90" i="12" s="1"/>
  <c r="E87" i="12"/>
  <c r="E89" i="12" s="1"/>
  <c r="E90" i="12" s="1"/>
  <c r="G87" i="12"/>
  <c r="G89" i="12" s="1"/>
  <c r="G90" i="12" s="1"/>
  <c r="H87" i="12"/>
  <c r="H89" i="12" s="1"/>
  <c r="H90" i="12" s="1"/>
  <c r="D87" i="12"/>
  <c r="D89" i="12" s="1"/>
  <c r="D90" i="12" s="1"/>
  <c r="D71" i="12" s="1"/>
  <c r="D72" i="12" s="1"/>
  <c r="R70" i="12"/>
  <c r="Q70" i="12"/>
  <c r="P70" i="12"/>
  <c r="O70" i="12"/>
  <c r="N70" i="12"/>
  <c r="M70" i="12"/>
  <c r="L70" i="12"/>
  <c r="K70" i="12"/>
  <c r="J70" i="12"/>
  <c r="I70" i="12"/>
  <c r="H70" i="12"/>
  <c r="G70" i="12"/>
  <c r="F70" i="12"/>
  <c r="E70" i="12"/>
  <c r="D70" i="12"/>
  <c r="S45" i="12"/>
  <c r="R35" i="12"/>
  <c r="Q35" i="12"/>
  <c r="P35" i="12"/>
  <c r="O35" i="12"/>
  <c r="N35" i="12"/>
  <c r="M35" i="12"/>
  <c r="L35" i="12"/>
  <c r="K35" i="12"/>
  <c r="J35" i="12"/>
  <c r="I35" i="12"/>
  <c r="H35" i="12"/>
  <c r="G35" i="12"/>
  <c r="F35" i="12"/>
  <c r="E35" i="12"/>
  <c r="D35" i="12"/>
  <c r="R60" i="12"/>
  <c r="Q60" i="12"/>
  <c r="P60" i="12"/>
  <c r="O60" i="12"/>
  <c r="N60" i="12"/>
  <c r="M60" i="12"/>
  <c r="L60" i="12"/>
  <c r="K60" i="12"/>
  <c r="J60" i="12"/>
  <c r="I60" i="12"/>
  <c r="H60" i="12"/>
  <c r="G60" i="12"/>
  <c r="F60" i="12"/>
  <c r="E60" i="12"/>
  <c r="D60" i="12"/>
  <c r="R58" i="12"/>
  <c r="R76" i="12" s="1"/>
  <c r="R78" i="12" s="1"/>
  <c r="R79" i="12" s="1"/>
  <c r="Q58" i="12"/>
  <c r="Q76" i="12" s="1"/>
  <c r="Q78" i="12" s="1"/>
  <c r="Q79" i="12" s="1"/>
  <c r="P58" i="12"/>
  <c r="P59" i="12" s="1"/>
  <c r="O58" i="12"/>
  <c r="O59" i="12" s="1"/>
  <c r="N58" i="12"/>
  <c r="N59" i="12" s="1"/>
  <c r="M58" i="12"/>
  <c r="M59" i="12" s="1"/>
  <c r="L58" i="12"/>
  <c r="L59" i="12" s="1"/>
  <c r="K58" i="12"/>
  <c r="K76" i="12" s="1"/>
  <c r="K78" i="12" s="1"/>
  <c r="K79" i="12" s="1"/>
  <c r="J58" i="12"/>
  <c r="J59" i="12" s="1"/>
  <c r="I58" i="12"/>
  <c r="I59" i="12" s="1"/>
  <c r="H58" i="12"/>
  <c r="H59" i="12" s="1"/>
  <c r="G58" i="12"/>
  <c r="G59" i="12" s="1"/>
  <c r="F58" i="12"/>
  <c r="F59" i="12" s="1"/>
  <c r="E58" i="12"/>
  <c r="E76" i="12" s="1"/>
  <c r="D58" i="12"/>
  <c r="D76" i="12" s="1"/>
  <c r="R23" i="12"/>
  <c r="Q23" i="12"/>
  <c r="P23" i="12"/>
  <c r="O23" i="12"/>
  <c r="N23" i="12"/>
  <c r="M23" i="12"/>
  <c r="L23" i="12"/>
  <c r="K23" i="12"/>
  <c r="J23" i="12"/>
  <c r="I23" i="12"/>
  <c r="H23" i="12"/>
  <c r="G23" i="12"/>
  <c r="F23" i="12"/>
  <c r="E23" i="12"/>
  <c r="D23" i="12"/>
  <c r="R20" i="12"/>
  <c r="Q20" i="12"/>
  <c r="P20" i="12"/>
  <c r="O20" i="12"/>
  <c r="N20" i="12"/>
  <c r="M20" i="12"/>
  <c r="L20" i="12"/>
  <c r="K20" i="12"/>
  <c r="J20" i="12"/>
  <c r="I20" i="12"/>
  <c r="H20" i="12"/>
  <c r="G20" i="12"/>
  <c r="F20" i="12"/>
  <c r="E20" i="12"/>
  <c r="D20" i="12"/>
  <c r="G71" i="12" l="1"/>
  <c r="G72" i="12" s="1"/>
  <c r="G78" i="12" s="1"/>
  <c r="G79" i="12" s="1"/>
  <c r="E71" i="12"/>
  <c r="E72" i="12" s="1"/>
  <c r="H72" i="12"/>
  <c r="H78" i="12" s="1"/>
  <c r="H79" i="12" s="1"/>
  <c r="H71" i="12"/>
  <c r="I71" i="12"/>
  <c r="I72" i="12" s="1"/>
  <c r="G76" i="12"/>
  <c r="H76" i="12"/>
  <c r="I76" i="12"/>
  <c r="E59" i="12"/>
  <c r="L76" i="12"/>
  <c r="L78" i="12" s="1"/>
  <c r="L79" i="12" s="1"/>
  <c r="M76" i="12"/>
  <c r="M78" i="12" s="1"/>
  <c r="M79" i="12" s="1"/>
  <c r="N76" i="12"/>
  <c r="N78" i="12" s="1"/>
  <c r="N79" i="12" s="1"/>
  <c r="P76" i="12"/>
  <c r="P78" i="12" s="1"/>
  <c r="P79" i="12" s="1"/>
  <c r="O76" i="12"/>
  <c r="O78" i="12" s="1"/>
  <c r="O79" i="12" s="1"/>
  <c r="D59" i="12"/>
  <c r="K59" i="12"/>
  <c r="F76" i="12"/>
  <c r="J76" i="12"/>
  <c r="J78" i="12" s="1"/>
  <c r="J79" i="12" s="1"/>
  <c r="R59" i="12"/>
  <c r="Q59" i="12"/>
  <c r="I78" i="12" l="1"/>
  <c r="I79" i="12" s="1"/>
  <c r="C88" i="12"/>
  <c r="C86" i="12"/>
  <c r="C85" i="12"/>
  <c r="C84" i="12"/>
  <c r="C70" i="12"/>
  <c r="C60" i="12"/>
  <c r="C58" i="12"/>
  <c r="C76" i="12" s="1"/>
  <c r="C52" i="12"/>
  <c r="C51" i="12"/>
  <c r="F47" i="12"/>
  <c r="E47" i="12"/>
  <c r="D47" i="12"/>
  <c r="C47" i="12"/>
  <c r="C35" i="12"/>
  <c r="C27" i="12"/>
  <c r="C26" i="12"/>
  <c r="C23" i="12"/>
  <c r="C20" i="12"/>
  <c r="F21" i="8"/>
  <c r="C87" i="12" l="1"/>
  <c r="C89" i="12" s="1"/>
  <c r="C90" i="12" s="1"/>
  <c r="C71" i="12" s="1"/>
  <c r="C59" i="12"/>
  <c r="D12" i="8"/>
  <c r="F12" i="8"/>
  <c r="E12" i="8"/>
  <c r="C12" i="8"/>
  <c r="F48" i="8"/>
  <c r="C40" i="8"/>
  <c r="D21" i="8"/>
  <c r="C21" i="8"/>
  <c r="G19" i="8"/>
  <c r="S21" i="12" s="1"/>
  <c r="S47" i="12" s="1"/>
  <c r="E25" i="8"/>
  <c r="D25" i="8"/>
  <c r="C25" i="8"/>
  <c r="G8" i="8"/>
  <c r="G40" i="8"/>
  <c r="S43" i="12" s="1"/>
  <c r="F40" i="8"/>
  <c r="E40" i="8"/>
  <c r="D40" i="8"/>
  <c r="G12" i="8" l="1"/>
  <c r="S9" i="12"/>
  <c r="S14" i="12" s="1"/>
  <c r="C72" i="12"/>
  <c r="C78" i="12" s="1"/>
  <c r="C79" i="12" s="1"/>
  <c r="F89" i="8"/>
  <c r="E89" i="8"/>
  <c r="D89" i="8"/>
  <c r="C89" i="8"/>
  <c r="G88" i="8"/>
  <c r="C85" i="8"/>
  <c r="C83" i="8"/>
  <c r="C82" i="8"/>
  <c r="C81" i="8"/>
  <c r="F71" i="8"/>
  <c r="E71" i="8"/>
  <c r="D71" i="8"/>
  <c r="C71" i="8"/>
  <c r="E67" i="8"/>
  <c r="D67" i="8"/>
  <c r="C67" i="8"/>
  <c r="G66" i="8"/>
  <c r="S69" i="12" s="1"/>
  <c r="F57" i="8"/>
  <c r="E57" i="8"/>
  <c r="D57" i="8"/>
  <c r="C57" i="8"/>
  <c r="F55" i="8"/>
  <c r="E55" i="8"/>
  <c r="D55" i="8"/>
  <c r="D56" i="8" s="1"/>
  <c r="C55" i="8"/>
  <c r="G54" i="8"/>
  <c r="S57" i="12" s="1"/>
  <c r="G53" i="8"/>
  <c r="S56" i="12" s="1"/>
  <c r="G52" i="8"/>
  <c r="S55" i="12" s="1"/>
  <c r="E49" i="8"/>
  <c r="D49" i="8"/>
  <c r="C49" i="8"/>
  <c r="E48" i="8"/>
  <c r="D48" i="8"/>
  <c r="C48" i="8"/>
  <c r="G47" i="8"/>
  <c r="S50" i="12" s="1"/>
  <c r="S71" i="12" s="1"/>
  <c r="E78" i="12" s="1"/>
  <c r="E79" i="12" s="1"/>
  <c r="F44" i="8"/>
  <c r="E44" i="8"/>
  <c r="D44" i="8"/>
  <c r="C44" i="8"/>
  <c r="F33" i="8"/>
  <c r="E33" i="8"/>
  <c r="D33" i="8"/>
  <c r="C33" i="8"/>
  <c r="G32" i="8"/>
  <c r="S34" i="12" s="1"/>
  <c r="F25" i="8"/>
  <c r="F24" i="8"/>
  <c r="E24" i="8"/>
  <c r="D24" i="8"/>
  <c r="C24" i="8"/>
  <c r="G22" i="8"/>
  <c r="S24" i="12" s="1"/>
  <c r="E21" i="8"/>
  <c r="G44" i="8"/>
  <c r="F18" i="8"/>
  <c r="E18" i="8"/>
  <c r="D18" i="8"/>
  <c r="C18" i="8"/>
  <c r="G17" i="8"/>
  <c r="S19" i="12" s="1"/>
  <c r="G16" i="8"/>
  <c r="S18" i="12" s="1"/>
  <c r="S20" i="12" l="1"/>
  <c r="D78" i="12"/>
  <c r="D79" i="12" s="1"/>
  <c r="F78" i="12"/>
  <c r="F79" i="12" s="1"/>
  <c r="G89" i="8"/>
  <c r="C73" i="8"/>
  <c r="C56" i="8"/>
  <c r="F73" i="8"/>
  <c r="F56" i="8"/>
  <c r="G24" i="8"/>
  <c r="S26" i="12" s="1"/>
  <c r="D73" i="8"/>
  <c r="E73" i="8"/>
  <c r="E56" i="8"/>
  <c r="G57" i="8"/>
  <c r="S60" i="12" s="1"/>
  <c r="G33" i="8"/>
  <c r="S35" i="12" s="1"/>
  <c r="C84" i="8"/>
  <c r="C86" i="8" s="1"/>
  <c r="C87" i="8" s="1"/>
  <c r="G68" i="8" s="1"/>
  <c r="G71" i="8"/>
  <c r="S74" i="12" s="1"/>
  <c r="G25" i="8"/>
  <c r="S27" i="12" s="1"/>
  <c r="G18" i="8"/>
  <c r="G55" i="8"/>
  <c r="S58" i="12" s="1"/>
  <c r="G48" i="8"/>
  <c r="S51" i="12" s="1"/>
  <c r="G28" i="8"/>
  <c r="S30" i="12" s="1"/>
  <c r="G56" i="8" l="1"/>
  <c r="S59" i="12" s="1"/>
  <c r="C69" i="8"/>
  <c r="G73" i="8"/>
  <c r="S76" i="12" s="1"/>
  <c r="C75" i="8" l="1"/>
  <c r="C76" i="8" l="1"/>
  <c r="F49" i="8" l="1"/>
  <c r="F67" i="8"/>
  <c r="G20" i="8"/>
  <c r="S22" i="12" s="1"/>
  <c r="S23" i="12" s="1"/>
  <c r="G21" i="8" l="1"/>
  <c r="G67" i="8"/>
  <c r="S70" i="12" s="1"/>
  <c r="G49" i="8"/>
  <c r="S52" i="12" s="1"/>
  <c r="E68" i="8"/>
  <c r="E69" i="8" s="1"/>
  <c r="E75" i="8" s="1"/>
  <c r="E76" i="8" s="1"/>
  <c r="F68" i="8"/>
  <c r="F69" i="8" s="1"/>
  <c r="F75" i="8" s="1"/>
  <c r="F76" i="8" s="1"/>
  <c r="D68" i="8"/>
  <c r="D69" i="8" s="1"/>
  <c r="D75" i="8" s="1"/>
  <c r="D76" i="8" s="1"/>
  <c r="G69" i="8"/>
  <c r="G75" i="8" l="1"/>
  <c r="S72" i="12"/>
  <c r="G76" i="8" l="1"/>
  <c r="S79" i="12" s="1"/>
  <c r="S78" i="1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<sst xmlns="http://schemas.openxmlformats.org/spreadsheetml/2006/main" count="919" uniqueCount="348">
  <si>
    <r>
      <t xml:space="preserve">For queries, please contact: </t>
    </r>
    <r>
      <rPr>
        <b/>
        <sz val="10"/>
        <color theme="1"/>
        <rFont val="Arial"/>
        <family val="2"/>
      </rPr>
      <t>census@rcr.ac.uk</t>
    </r>
  </si>
  <si>
    <t>Below average values</t>
  </si>
  <si>
    <t>England</t>
  </si>
  <si>
    <t>Northern Ireland</t>
  </si>
  <si>
    <t>Scotland</t>
  </si>
  <si>
    <t>Wales</t>
  </si>
  <si>
    <t>UK</t>
  </si>
  <si>
    <t>Number of trusts/health boards (included in census)</t>
  </si>
  <si>
    <t>Radiology services overview</t>
  </si>
  <si>
    <t>Clinical directors who think there are insufficient radiologists to deliver safe and effective patient care %</t>
  </si>
  <si>
    <t>Trusts/health boards with inadequate IR provision %</t>
  </si>
  <si>
    <t>Trusts/health boards leaving reports unreported or auto-reported %</t>
  </si>
  <si>
    <t>Workforce overview</t>
  </si>
  <si>
    <t>CR consultants (headcount)</t>
  </si>
  <si>
    <t>of which, locum (headcount)</t>
  </si>
  <si>
    <t>Locums as % of workforce</t>
  </si>
  <si>
    <t>CR consultants (WTE)</t>
  </si>
  <si>
    <t>IR consultants as % of total CR workforce</t>
  </si>
  <si>
    <t>Trainees as % of radiology workforce (consultants + trainees)</t>
  </si>
  <si>
    <t>Working patterns</t>
  </si>
  <si>
    <t>Vacancies (WTE)</t>
  </si>
  <si>
    <t>Vacancy rate %</t>
  </si>
  <si>
    <t>Vacancies unfilled for a year or more %</t>
  </si>
  <si>
    <t>Workforce loss due to less than full-time (LTFT) working %</t>
  </si>
  <si>
    <t>CR consultants (WTE) annual workforce growth % past year</t>
  </si>
  <si>
    <t>CR consultants (WTE) annual workforce growth % (average - past five years)</t>
  </si>
  <si>
    <t>CR specialty trainees (headcount) annual workforce growth % (average - past five years)</t>
  </si>
  <si>
    <t>CR consultants (WTE) forecast to retire within five years %</t>
  </si>
  <si>
    <t>Workforce per population</t>
  </si>
  <si>
    <t>Population</t>
  </si>
  <si>
    <t>IR consultants (WTE) per million population</t>
  </si>
  <si>
    <t>Outsourcing to independent sector</t>
  </si>
  <si>
    <t>Insourcing (additional payments to contracted radiologists)</t>
  </si>
  <si>
    <t>Ad hoc locums (for excess reporting)</t>
  </si>
  <si>
    <t>Total expenditure</t>
  </si>
  <si>
    <t>Workforce shortfall estimates - CR consultants</t>
  </si>
  <si>
    <t>Estimate A (based in imaging volumes and IR provision)</t>
  </si>
  <si>
    <t>IR workforce shortfall %</t>
  </si>
  <si>
    <r>
      <t xml:space="preserve">Total CR consultant shortfall </t>
    </r>
    <r>
      <rPr>
        <i/>
        <sz val="9"/>
        <rFont val="Arial"/>
        <family val="2"/>
      </rPr>
      <t>(sum of above)</t>
    </r>
  </si>
  <si>
    <t>Estimate B (based on population size)</t>
  </si>
  <si>
    <t>The number of additional CR consultants required for 12.8 radiologists per 100,000 population (OECD historic average)</t>
  </si>
  <si>
    <t>Estimate C (based on radiology expenditure)</t>
  </si>
  <si>
    <t>CR consultant workforce shortfall (WTE)</t>
  </si>
  <si>
    <t>CR consultant workforce shortfall %</t>
  </si>
  <si>
    <t>cthours</t>
  </si>
  <si>
    <t>mrihours</t>
  </si>
  <si>
    <t>xray hours</t>
  </si>
  <si>
    <t>total hours</t>
  </si>
  <si>
    <t>consultants available hours</t>
  </si>
  <si>
    <t>Gap (hours)</t>
  </si>
  <si>
    <t>Gap (consultants)</t>
  </si>
  <si>
    <t>RCR Clinical radiology census data 2023</t>
  </si>
  <si>
    <t>Consultant clinical radiologists (CR consultants), September 2023</t>
  </si>
  <si>
    <t>Trainees (headcount) as of 31 Dec 2023</t>
  </si>
  <si>
    <t>Forecast CR consultants (WTE), 2028</t>
  </si>
  <si>
    <t>CR consultants (WTE) forecast annual growth % - next five years (to 2028)</t>
  </si>
  <si>
    <t>2028 Forecast CR consultant workforce shortfall (WTE)</t>
  </si>
  <si>
    <t>2028 Forecast CR consultant workforce shortfall %</t>
  </si>
  <si>
    <t>Radiology expenditure (financial year 22/23)</t>
  </si>
  <si>
    <t>CT 2023</t>
  </si>
  <si>
    <t>MRI 2023</t>
  </si>
  <si>
    <t>X-ray FY 22/23</t>
  </si>
  <si>
    <t>Salary 2023</t>
  </si>
  <si>
    <t>Above average values</t>
  </si>
  <si>
    <t>Vacancies</t>
  </si>
  <si>
    <t>Workforce shortfall estimates 2023</t>
  </si>
  <si>
    <t>Expenditure per head of population</t>
  </si>
  <si>
    <t>Insourcing (average) expenditure per CR consultant (WTE)</t>
  </si>
  <si>
    <t>Workforce growth and attrition</t>
  </si>
  <si>
    <t>Background</t>
  </si>
  <si>
    <t>Since 2008, the RCR has gathered clinical radiology workforce data annually through an online census, which is completed by clinical directors (or their delegate) of every NHS radiology department in the UK.</t>
  </si>
  <si>
    <t>Survey method</t>
  </si>
  <si>
    <t>Data accuracy</t>
  </si>
  <si>
    <t>Due to the use of consistent questions, established processes, and data quality checks, data accuracy is understood to be high. Where discrepancies and outliers were identified in the data, clarification was sought from census respondents.</t>
  </si>
  <si>
    <t>Response rate</t>
  </si>
  <si>
    <t>Presentation of results</t>
  </si>
  <si>
    <t xml:space="preserve">To increase readability, many of the figures in tables and charts are rounded. This means that the totals provided may differ (by one) from the sum of the parts. </t>
  </si>
  <si>
    <t>Time periods</t>
  </si>
  <si>
    <t>Data processing</t>
  </si>
  <si>
    <t>Census data is analysed together with the GMC medical register and clinical radiology specialty training data held by the RCR. The RCR processes data in accordance with UK data protection legislation.</t>
  </si>
  <si>
    <t>Data collection period</t>
  </si>
  <si>
    <t>Data limitations</t>
  </si>
  <si>
    <t>The census does not capture work undertaken outside of contracted hours, or sickness and absence rates.</t>
  </si>
  <si>
    <t>Queries</t>
  </si>
  <si>
    <t>Please send queries regarding the census to census@rcr.ac.uk.</t>
  </si>
  <si>
    <t>Calculations</t>
  </si>
  <si>
    <t>Attrition</t>
  </si>
  <si>
    <t>Vacancy rate</t>
  </si>
  <si>
    <t>The vacancy rate is the percentage of WTE staff in post against planned workforce levels. Vacancy rate % = [WTE vacancies / (WTE vacancies + WTE staff in post)] x 100.</t>
  </si>
  <si>
    <t>Whole-time equivalents (WTEs)</t>
  </si>
  <si>
    <t>The WTE calculation conforms to the NHS convention of calculating one WTE as ten PAs (that is, it excludes PAs that exceed ten). WTE values include direct clinical care (DCC) and supporting professional activities (SPA) but exclude research and additional responsibility PAs.</t>
  </si>
  <si>
    <t>Shortfall calculations</t>
  </si>
  <si>
    <t>It is estimated that CR consultants report 98% of CT and MRI examinations and 40% of X-rays.</t>
  </si>
  <si>
    <t>[1] https://www.england.nhs.uk/statistics/statistical-work-areas/diagnostic-imaging-dataset/</t>
  </si>
  <si>
    <t xml:space="preserve">Standardised questions have been used year-on-year to enable monitoring of trends over time. To facilitate data collection and data accuracy, 2022 staff data were provided to each radiology department. Clinical directors were asked to update the details for substantive and locum posts as of 1 September 2023. Data were collected through a secure survey platform (JotForm). </t>
  </si>
  <si>
    <t xml:space="preserve">The 2023 census achieved a 100% response rate, with 159 acute trusts/health boards in the UK submitting information. </t>
  </si>
  <si>
    <r>
      <t>Data collection opened on 6 September 2023 and closed</t>
    </r>
    <r>
      <rPr>
        <sz val="11"/>
        <color rgb="FFFF0000"/>
        <rFont val="Arial"/>
        <family val="2"/>
      </rPr>
      <t xml:space="preserve"> </t>
    </r>
    <r>
      <rPr>
        <sz val="11"/>
        <color theme="1"/>
        <rFont val="Arial"/>
        <family val="2"/>
      </rPr>
      <t>on 19 February 2024.</t>
    </r>
  </si>
  <si>
    <t>Training location for 8 trainees was not known at the time of data extraction (so the UK total exceeds the sum of the country trainees by 8).</t>
  </si>
  <si>
    <t>Attrition refers to those leaving the workforce. The attrition rate % is calculated as (WTE leavers/mean WTE consultant workforce) x 100. Locums are excluded from attrition calculations.</t>
  </si>
  <si>
    <t>References</t>
  </si>
  <si>
    <t>% of trusts using AI tools for clinical use</t>
  </si>
  <si>
    <t>SAS doctors (headcount)</t>
  </si>
  <si>
    <t>Radiologists (WTE) per 100,000 population (includes CR consultants, SAS doctors and trainees)</t>
  </si>
  <si>
    <r>
      <rPr>
        <b/>
        <sz val="10"/>
        <rFont val="Arial"/>
        <family val="2"/>
      </rPr>
      <t>Total headcount</t>
    </r>
    <r>
      <rPr>
        <sz val="10"/>
        <rFont val="Arial"/>
        <family val="2"/>
      </rPr>
      <t xml:space="preserve"> (consultants, SAS doctors and CR specialty trainees)</t>
    </r>
  </si>
  <si>
    <r>
      <t xml:space="preserve">Method A: </t>
    </r>
    <r>
      <rPr>
        <i/>
        <sz val="11"/>
        <color rgb="FF2D053C"/>
        <rFont val="Arial"/>
        <family val="2"/>
      </rPr>
      <t>Based on imaging volumes and IR provision</t>
    </r>
  </si>
  <si>
    <r>
      <t xml:space="preserve">Method B: </t>
    </r>
    <r>
      <rPr>
        <i/>
        <sz val="11"/>
        <color rgb="FF2D053C"/>
        <rFont val="Arial"/>
        <family val="2"/>
      </rPr>
      <t>Based on population size</t>
    </r>
  </si>
  <si>
    <r>
      <t xml:space="preserve">Method C: </t>
    </r>
    <r>
      <rPr>
        <i/>
        <sz val="11"/>
        <color rgb="FF2D053C"/>
        <rFont val="Arial"/>
        <family val="2"/>
      </rPr>
      <t>Based on radiology expenditure</t>
    </r>
  </si>
  <si>
    <t>East Midlands</t>
  </si>
  <si>
    <t>East of England</t>
  </si>
  <si>
    <t>London</t>
  </si>
  <si>
    <t>North East</t>
  </si>
  <si>
    <t>North West</t>
  </si>
  <si>
    <t>South East</t>
  </si>
  <si>
    <t>South West</t>
  </si>
  <si>
    <t>West Midlands</t>
  </si>
  <si>
    <t>Yorkshire &amp; Humber</t>
  </si>
  <si>
    <t>East of Scotland</t>
  </si>
  <si>
    <t>North of Scotland</t>
  </si>
  <si>
    <t>South East Scotland</t>
  </si>
  <si>
    <t>South West Scotland</t>
  </si>
  <si>
    <t>South Wales</t>
  </si>
  <si>
    <t>Total</t>
  </si>
  <si>
    <t>North &amp; West Wales</t>
  </si>
  <si>
    <t>West of Scotland</t>
  </si>
  <si>
    <t>N/A</t>
  </si>
  <si>
    <t>Northern Irelenad</t>
  </si>
  <si>
    <t>*</t>
  </si>
  <si>
    <t>Trainees 2018</t>
  </si>
  <si>
    <t>No, trusts using AI tools for clinical use</t>
  </si>
  <si>
    <t>NK</t>
  </si>
  <si>
    <t>Trust/Health Board</t>
  </si>
  <si>
    <t>Census region</t>
  </si>
  <si>
    <t>Imaging network</t>
  </si>
  <si>
    <t>Country</t>
  </si>
  <si>
    <t>Airedale NHS Foundation Trust</t>
  </si>
  <si>
    <t>Yorkshire and the Humber</t>
  </si>
  <si>
    <t>Yorkshire Imaging Collaborative</t>
  </si>
  <si>
    <t xml:space="preserve">England </t>
  </si>
  <si>
    <t>Alder Hey Children's NHS Foundation Trust</t>
  </si>
  <si>
    <t>Cheshire and Merseyside</t>
  </si>
  <si>
    <t>Aneurin Bevan University Health Board</t>
  </si>
  <si>
    <t>Ashford and St Peter's Hospitals NHS Foundation Trust</t>
  </si>
  <si>
    <t>Frimley, Surrey and Sussex</t>
  </si>
  <si>
    <t>Barking, Havering and Redbridge University Hospitals NHS Trust</t>
  </si>
  <si>
    <t>North East London</t>
  </si>
  <si>
    <t>Barnsley Hospital NHS Foundation Trust</t>
  </si>
  <si>
    <t>South Yorkshire and Bassetlaw</t>
  </si>
  <si>
    <t>Barts Health NHS Trust</t>
  </si>
  <si>
    <t>Bedfordshire Hospitals NHS Foundation Trust</t>
  </si>
  <si>
    <t>East of England 2</t>
  </si>
  <si>
    <t>Belfast Health and Social Care Trust</t>
  </si>
  <si>
    <t>Northern. Ireland</t>
  </si>
  <si>
    <t>Betsi Cadwaladr University Health Board</t>
  </si>
  <si>
    <t>North and West Wales</t>
  </si>
  <si>
    <t>Birmingham Women's and Children's NHS Foundation Trust</t>
  </si>
  <si>
    <t>Blackpool Teaching Hospitals NHS Foundation Trust</t>
  </si>
  <si>
    <t>Lancashire and South Cumbria</t>
  </si>
  <si>
    <t>Bolton NHS Foundation Trust</t>
  </si>
  <si>
    <t>Greater Manchester</t>
  </si>
  <si>
    <t>Bradford Teaching Hospitals NHS Foundation Trust</t>
  </si>
  <si>
    <t>Buckinghamshire Healthcare NHS Trust</t>
  </si>
  <si>
    <t>Thames Valley</t>
  </si>
  <si>
    <t>Calderdale and Huddersfield NHS Foundation Trust</t>
  </si>
  <si>
    <t>Cambridge University Hospitals NHS Foundation Trust</t>
  </si>
  <si>
    <t>East of England 1</t>
  </si>
  <si>
    <t>Cardiff and Vale University Health Board</t>
  </si>
  <si>
    <t>Chelsea and Westminster Hospital NHS Foundation Trust</t>
  </si>
  <si>
    <t>North West London</t>
  </si>
  <si>
    <t>Chesterfield Royal Hospital NHS Foundation Trust</t>
  </si>
  <si>
    <t>EMRAD (East Midlands)</t>
  </si>
  <si>
    <t>Countess of Chester Hospital NHS Foundation Trust</t>
  </si>
  <si>
    <t>County Durham and Darlington NHS Foundation Trust</t>
  </si>
  <si>
    <t>North East and North Cumbria</t>
  </si>
  <si>
    <t>Croydon Health Services NHS Trust</t>
  </si>
  <si>
    <t>South West London</t>
  </si>
  <si>
    <t>Cwm Taf Morgannwg University Health Board</t>
  </si>
  <si>
    <t>Dartford and Gravesham NHS Trust</t>
  </si>
  <si>
    <t>Kent and Medway</t>
  </si>
  <si>
    <t>Doncaster and Bassetlaw Teaching Hospitals NHS Foundation Trust</t>
  </si>
  <si>
    <t>Dorset County Hospital NHS Foundation Trust</t>
  </si>
  <si>
    <t>Wessex</t>
  </si>
  <si>
    <t>East and North Hertfordshire NHS Trust</t>
  </si>
  <si>
    <t>East Cheshire NHS Trust</t>
  </si>
  <si>
    <t>East Kent Hospitals University NHS Foundation Trust</t>
  </si>
  <si>
    <t>East Lancashire Hospitals NHS Trust</t>
  </si>
  <si>
    <t>East Suffolk and North Essex NHS Foundation Trust</t>
  </si>
  <si>
    <t>East Sussex Healthcare NHS Trust</t>
  </si>
  <si>
    <t>Epsom and St Helier University Hospitals NHS Trust</t>
  </si>
  <si>
    <t>Frimley Health NHS Foundation Trust</t>
  </si>
  <si>
    <t>Gateshead Health NHS Foundation Trust</t>
  </si>
  <si>
    <t>George Eliot Hospital NHS Trust</t>
  </si>
  <si>
    <t>Gloucestershire Hospitals NHS Foundation Trust</t>
  </si>
  <si>
    <t>South West 2</t>
  </si>
  <si>
    <t>Great Ormond Street Hospital for Children NHS Foundation Trust</t>
  </si>
  <si>
    <t>North Central London</t>
  </si>
  <si>
    <t>Great Western Hospitals NHS Foundation Trust</t>
  </si>
  <si>
    <t>Guy's and St Thomas' NHS Foundation Trust</t>
  </si>
  <si>
    <t>South East London</t>
  </si>
  <si>
    <t>Hampshire Hospitals NHS Foundation Trust</t>
  </si>
  <si>
    <t>Harrogate and District NHS Foundation Trust</t>
  </si>
  <si>
    <t>Homerton Healthcare NHS Foundation Trust</t>
  </si>
  <si>
    <t>Hull University Teaching Hospitals NHS Trust</t>
  </si>
  <si>
    <t>Humber and North Yorkshire</t>
  </si>
  <si>
    <t>Hywel Dda University Health Board</t>
  </si>
  <si>
    <t>Imperial College Healthcare NHS Trust</t>
  </si>
  <si>
    <t>Isle of Wight NHS Trust</t>
  </si>
  <si>
    <t>James Paget University Hospitals NHS Foundation Trust</t>
  </si>
  <si>
    <t>Kettering General Hospital NHS Foundation Trust</t>
  </si>
  <si>
    <t>King's College Hospital NHS Foundation Trust</t>
  </si>
  <si>
    <t>Kingston Hospital NHS Foundation Trust</t>
  </si>
  <si>
    <t>Lancashire Teaching Hospitals NHS Foundation Trust</t>
  </si>
  <si>
    <t>Leeds Teaching Hospitals NHS Trust</t>
  </si>
  <si>
    <t>Lewisham and Greenwich NHS Trust</t>
  </si>
  <si>
    <t>Liverpool Heart and Chest Hospital NHS Foundation Trust</t>
  </si>
  <si>
    <t>Liverpool University Hospitals NHS Foundation Trust</t>
  </si>
  <si>
    <t>London North West University Healthcare NHS Trust</t>
  </si>
  <si>
    <t>Maidstone and Tunbridge Wells NHS Trust</t>
  </si>
  <si>
    <t>Manchester University NHS Foundation Trust</t>
  </si>
  <si>
    <t>Medway NHS Foundation Trust</t>
  </si>
  <si>
    <t>Mid and South Essex NHS Foundation Trust</t>
  </si>
  <si>
    <t>Mid Cheshire Hospitals NHS Foundation Trust</t>
  </si>
  <si>
    <t>Milton Keynes University Hospital NHS Foundation Trust</t>
  </si>
  <si>
    <t>Moorfields Eye Hospital NHS Foundation Trust</t>
  </si>
  <si>
    <t>NHS Ayrshire and Arran</t>
  </si>
  <si>
    <t>Scotland - West</t>
  </si>
  <si>
    <t>NHS Borders</t>
  </si>
  <si>
    <t>Scotland - East</t>
  </si>
  <si>
    <t>NHS Dumfries and Galloway</t>
  </si>
  <si>
    <t>NHS Fife</t>
  </si>
  <si>
    <t>NHS Forth Valley</t>
  </si>
  <si>
    <t>NHS Grampian</t>
  </si>
  <si>
    <t>Scotland - North</t>
  </si>
  <si>
    <t>NHS Greater Glasgow and Clyde</t>
  </si>
  <si>
    <t>NHS Highland</t>
  </si>
  <si>
    <t>NHS Lanarkshire</t>
  </si>
  <si>
    <t>NHS Lothian</t>
  </si>
  <si>
    <t>NHS Tayside</t>
  </si>
  <si>
    <t>NHS Western Isles</t>
  </si>
  <si>
    <t>Norfolk and Norwich University Hospitals NHS Foundation Trust</t>
  </si>
  <si>
    <t>North Bristol NHS Trust</t>
  </si>
  <si>
    <t>North Middlesex University Hospital NHS Trust</t>
  </si>
  <si>
    <t>North Tees and Hartlepool NHS Foundation Trust</t>
  </si>
  <si>
    <t>North West Anglia NHS Foundation Trust</t>
  </si>
  <si>
    <t>Northampton General Hospital NHS Trust</t>
  </si>
  <si>
    <t>Northern Care Alliance NHS Foundation Trust</t>
  </si>
  <si>
    <t>PenRAD</t>
  </si>
  <si>
    <t>Northern Health and Social Care Trust</t>
  </si>
  <si>
    <t>Northern Lincolnshire and Goole NHS Foundation Trust</t>
  </si>
  <si>
    <t>Northumbria Healthcare NHS Foundation Trust</t>
  </si>
  <si>
    <t>Nottingham University Hospitals NHS Trust</t>
  </si>
  <si>
    <t>Oxford University Hospitals NHS Foundation Trust</t>
  </si>
  <si>
    <t>Portsmouth Hospitals University NHS Trust</t>
  </si>
  <si>
    <t>Queen Victoria Hospital NHS Foundation Trust</t>
  </si>
  <si>
    <t>Royal Berkshire NHS Foundation Trust</t>
  </si>
  <si>
    <t>Royal Cornwall Hospitals NHS Trust</t>
  </si>
  <si>
    <t>Royal Devon University Healthcare NHS Foundation Trust</t>
  </si>
  <si>
    <t>Royal Free London NHS Foundation Trust</t>
  </si>
  <si>
    <t>Royal National Orthopaedic Hospital NHS Trust</t>
  </si>
  <si>
    <t>Royal Papworth Hospital NHS Foundation Trust</t>
  </si>
  <si>
    <t>Royal Surrey County Hospital NHS Foundation Trust</t>
  </si>
  <si>
    <t>Royal United Hospitals Bath NHS Foundation Trust</t>
  </si>
  <si>
    <t>Salisbury NHS Foundation Trust</t>
  </si>
  <si>
    <t>Sandwell and West Birmingham Hospitals NHS Trust</t>
  </si>
  <si>
    <t>Sheffield Children's NHS Foundation Trust</t>
  </si>
  <si>
    <t>Sheffield Teaching Hospitals NHS Foundation Trust</t>
  </si>
  <si>
    <t>Sherwood Forest Hospitals NHS Foundation Trust</t>
  </si>
  <si>
    <t>Shrewsbury and Telford Hospital NHS Trust</t>
  </si>
  <si>
    <t>Somerset NHS Foundation Trust</t>
  </si>
  <si>
    <t>South Eastern Health and Social Care Trust</t>
  </si>
  <si>
    <t>South Tees Hospitals NHS Foundation Trust</t>
  </si>
  <si>
    <t>South Tyneside and Sunderland NHS Foundation Trust</t>
  </si>
  <si>
    <t>South Warwickshire University NHS Foundation Trust</t>
  </si>
  <si>
    <t>Southern Health and Social Care Trust</t>
  </si>
  <si>
    <t>St George's University Hospitals NHS Foundation Trust</t>
  </si>
  <si>
    <t>Stockport NHS Foundation Trust</t>
  </si>
  <si>
    <t>Surrey and Sussex Healthcare NHS Trust</t>
  </si>
  <si>
    <t>Swansea Bay University Health Board</t>
  </si>
  <si>
    <t>Tameside and Glossop Integrated Care NHS Foundation Trust</t>
  </si>
  <si>
    <t>The Christie NHS Foundation Trust</t>
  </si>
  <si>
    <t>The Clatterbridge Cancer Centre NHS Foundation Trust</t>
  </si>
  <si>
    <t>The Dudley Group NHS Foundation Trust</t>
  </si>
  <si>
    <t>The Hillingdon Hospitals NHS Foundation Trust</t>
  </si>
  <si>
    <t>The Newcastle upon Tyne Hospitals NHS Foundation Trust</t>
  </si>
  <si>
    <t>The Princess Alexandra Hospital NHS Trust</t>
  </si>
  <si>
    <t>The Queen Elizabeth Hospital King's Lynn NHS Foundation Trust</t>
  </si>
  <si>
    <t>The Robert Jones and Agnes Hunt Orthopaedic Hospital NHS Foundation Trust</t>
  </si>
  <si>
    <t>The Rotherham NHS Foundation Trust</t>
  </si>
  <si>
    <t>The Royal Marsden NHS Foundation Trust</t>
  </si>
  <si>
    <t>The Royal Orthopaedic Hospital NHS Foundation Trust</t>
  </si>
  <si>
    <t>The Royal Wolverhampton NHS Trust</t>
  </si>
  <si>
    <t>The Walton Centre NHS Foundation Trust</t>
  </si>
  <si>
    <t>Torbay and South Devon NHS Foundation Trust</t>
  </si>
  <si>
    <t>United Lincolnshire Hospitals NHS Trust</t>
  </si>
  <si>
    <t>University College London Hospitals NHS Foundation Trust</t>
  </si>
  <si>
    <t>University Hospital Southampton NHS Foundation Trust</t>
  </si>
  <si>
    <t>University Hospitals Birmingham NHS Foundation Trust</t>
  </si>
  <si>
    <t>University Hospitals Bristol and Weston NHS Foundation Trust</t>
  </si>
  <si>
    <t>University Hospitals Coventry and Warwickshire NHS Trust</t>
  </si>
  <si>
    <t>University Hospitals of Derby and Burton NHS Foundation Trust</t>
  </si>
  <si>
    <t>University Hospitals of Leicester NHS Trust</t>
  </si>
  <si>
    <t>University Hospitals of Morecambe Bay NHS Foundation Trust</t>
  </si>
  <si>
    <t>University Hospitals of North Midlands NHS Trust</t>
  </si>
  <si>
    <t>University Hospitals Plymouth NHS Trust</t>
  </si>
  <si>
    <t>University Hospitals Sussex NHS Foundation Trust</t>
  </si>
  <si>
    <t>Velindre University NHS Trust</t>
  </si>
  <si>
    <t>Walsall Healthcare NHS Trust</t>
  </si>
  <si>
    <t>Warrington and Halton Teaching Hospitals NHS Foundation Trust</t>
  </si>
  <si>
    <t>West Hertfordshire Teaching Hospitals NHS Trust</t>
  </si>
  <si>
    <t>West Suffolk NHS Foundation Trust</t>
  </si>
  <si>
    <t>Western Health and Social Care Trust</t>
  </si>
  <si>
    <t>Whittington Health NHS Trust</t>
  </si>
  <si>
    <t>Wirral University Teaching Hospital NHS Foundation Trust</t>
  </si>
  <si>
    <t>Worcestershire Acute Hospitals NHS Trust</t>
  </si>
  <si>
    <t>Wrightington, Wigan and Leigh NHS Foundation Trust</t>
  </si>
  <si>
    <t>Wye Valley NHS Trust</t>
  </si>
  <si>
    <t>York and Scarborough Teaching Hospitals NHS Foundation Trust</t>
  </si>
  <si>
    <t>Mersey and West Lancashire Teaching Hospitals NHS Trust</t>
  </si>
  <si>
    <t>Mid Yorkshire Teaching NHS Trust</t>
  </si>
  <si>
    <t>NHS Golden Jubilee National Hospital</t>
  </si>
  <si>
    <t>North Cumbria Integrated Care NHS Foundation Trust</t>
  </si>
  <si>
    <t>University Hospitals Dorset NHS Foundation Trust</t>
  </si>
  <si>
    <t>Attrition rate</t>
  </si>
  <si>
    <t xml:space="preserve">Three methods are used to estimate CR consultant workforce shortfalls. The reported estimated shortfall is the average (mean) of the below three methods: </t>
  </si>
  <si>
    <t xml:space="preserve">2028 forecast CR consultant workforce </t>
  </si>
  <si>
    <t>2028 forecast CR consultant workforce shortfall (WTE)</t>
  </si>
  <si>
    <r>
      <t>Estimated reporting times are (average of) 15 minutes for CT and MRI imaging examinations and 3 minutes for X-rays.</t>
    </r>
    <r>
      <rPr>
        <vertAlign val="superscript"/>
        <sz val="11"/>
        <color rgb="FF000000"/>
        <rFont val="Arial"/>
        <family val="2"/>
      </rPr>
      <t>[3]</t>
    </r>
  </si>
  <si>
    <r>
      <t>60% of radiology departments were able to submit expenditure data in 2023. UK median expenditure figures were used as estimates for radiology departments unable to submit expenditure data, with the exception of Scotland where FOI data was used.</t>
    </r>
    <r>
      <rPr>
        <vertAlign val="superscript"/>
        <sz val="11"/>
        <color rgb="FF000000"/>
        <rFont val="Arial"/>
        <family val="2"/>
      </rPr>
      <t>[5]</t>
    </r>
  </si>
  <si>
    <r>
      <t xml:space="preserve">[1],[2] Office for National Statistics. </t>
    </r>
    <r>
      <rPr>
        <i/>
        <sz val="9"/>
        <color theme="1"/>
        <rFont val="Arial"/>
        <family val="2"/>
      </rPr>
      <t xml:space="preserve">Population estimates. </t>
    </r>
    <r>
      <rPr>
        <sz val="9"/>
        <color theme="1"/>
        <rFont val="Arial"/>
        <family val="2"/>
      </rPr>
      <t>Office for National Statistics, 2022. www.ons.gov.uk/peoplepopulationandcommunity/populationandmigration/populationestimates</t>
    </r>
  </si>
  <si>
    <r>
      <t xml:space="preserve">[3] The Royal College of Radiologists. </t>
    </r>
    <r>
      <rPr>
        <i/>
        <sz val="9"/>
        <color theme="1"/>
        <rFont val="Arial"/>
        <family val="2"/>
      </rPr>
      <t xml:space="preserve">Radiology reporting figures for service planning 2022. </t>
    </r>
    <r>
      <rPr>
        <sz val="9"/>
        <color theme="1"/>
        <rFont val="Arial"/>
        <family val="2"/>
      </rPr>
      <t xml:space="preserve">London: The Royal College of Radiologists, 2022. www.rcr.ac.uk/our-services/all-our-publications/clinical-radiology-publications/radiology-reporting-figures-for-service-planning-2022/ </t>
    </r>
  </si>
  <si>
    <r>
      <t xml:space="preserve">[4] NHS Employers. </t>
    </r>
    <r>
      <rPr>
        <i/>
        <sz val="9"/>
        <color theme="1"/>
        <rFont val="Arial"/>
        <family val="2"/>
      </rPr>
      <t xml:space="preserve">Pay and Conditions Circular (M&amp;D). </t>
    </r>
    <r>
      <rPr>
        <sz val="9"/>
        <color theme="1"/>
        <rFont val="Arial"/>
        <family val="2"/>
      </rPr>
      <t>NHS Employers, 2023. www.nhsemployers.org/system/files/2023-08/Pay and Conditions Circular (MD) 4-2023 FINAL_0.pdf</t>
    </r>
  </si>
  <si>
    <r>
      <t xml:space="preserve">[5] Heaney, B. </t>
    </r>
    <r>
      <rPr>
        <i/>
        <sz val="9"/>
        <color theme="1"/>
        <rFont val="Arial"/>
        <family val="2"/>
      </rPr>
      <t>Health: Cost of radiology outsourcing spirals. The Democrat</t>
    </r>
    <r>
      <rPr>
        <sz val="9"/>
        <color theme="1"/>
        <rFont val="Arial"/>
        <family val="2"/>
      </rPr>
      <t>, 2023. www.democratonline.net/2023/07/17/health-cost-of-radiology-outsourcing-spirals/</t>
    </r>
  </si>
  <si>
    <t>Workforce figures are reported as headcount unless otherwise stated. Where a member of staff works part-time across two regions, they will count as a headcount of one in each of the regions and as one in the UK total, therefore; the sum of the regional headcounts may be slightly higher than the UK headcount. WTE calculations conform to the current NHS convention of excluding PAs that exceed ten.</t>
  </si>
  <si>
    <t>For simplicity, the phrase ‘in 2023’ may used in the census report to refer to the period covered by the census, which was September 2022 to August 2023. Financial data covers the period April 2022 to March 2023.</t>
  </si>
  <si>
    <t>A WTE is a whole-time (or full-time) doctor with a contract of ten programmed activities (PAs) per week; this is equivalent to a 40-hour week in England, Northern Ireland, and Scotland and a 37.5-hour week in Wales.</t>
  </si>
  <si>
    <r>
      <t>As the devolved nations do not publish imaging volumes, figures for Northern Ireland, Scotland, and Wales are based on England (diagnostic imaging dataset) volumes and adjusted for population size.</t>
    </r>
    <r>
      <rPr>
        <vertAlign val="superscript"/>
        <sz val="11"/>
        <color rgb="FF000000"/>
        <rFont val="Arial"/>
        <family val="2"/>
      </rPr>
      <t>[1],[2]</t>
    </r>
  </si>
  <si>
    <t>The number of additional CR consultants required for 12.8 radiologists per 100,000 population (OECD average in 2015; more recent data has not been published).</t>
  </si>
  <si>
    <r>
      <t>Number of full-time CR consultant salaries that could be funded by radiology expenditure in FY 2022/23 (insourcing, outsourcing, and ad-hoc locums).</t>
    </r>
    <r>
      <rPr>
        <vertAlign val="superscript"/>
        <sz val="11"/>
        <color theme="1"/>
        <rFont val="Arial"/>
        <family val="2"/>
      </rPr>
      <t>[4]</t>
    </r>
  </si>
  <si>
    <t>Based on an estimated 7% annual increase in demand over the next five years.</t>
  </si>
  <si>
    <t>CR consultants (WTE) attrition (average - past five years)</t>
  </si>
  <si>
    <t>CR consultants (WTE) attrition % (average - past five years)</t>
  </si>
  <si>
    <r>
      <t xml:space="preserve">Diagnostic CR consultant shortfall
</t>
    </r>
    <r>
      <rPr>
        <i/>
        <sz val="10"/>
        <rFont val="Arial"/>
        <family val="2"/>
      </rPr>
      <t>(based on volumes of imaging examinations)</t>
    </r>
  </si>
  <si>
    <t>Number of full-time CR consultants salaries that could be funded by radiology expenditure in FY22/23 (insourcing, outsourcing, and ad-hoc locums)</t>
  </si>
  <si>
    <t xml:space="preserve">   of which, interventional radiology (IR) consultants (WTE)</t>
  </si>
  <si>
    <r>
      <t xml:space="preserve">IR consultant workforce shortfall 
</t>
    </r>
    <r>
      <rPr>
        <i/>
        <sz val="10"/>
        <rFont val="Arial"/>
        <family val="2"/>
      </rPr>
      <t>(based on 6 IRs per trust; excludes trusts with formal daytime and out-of-hours network transfer arrangements)</t>
    </r>
  </si>
  <si>
    <r>
      <t xml:space="preserve">Overall estimated shortfall
</t>
    </r>
    <r>
      <rPr>
        <i/>
        <sz val="10"/>
        <rFont val="Arial"/>
        <family val="2"/>
      </rPr>
      <t>(average of estimates A, B and C)</t>
    </r>
  </si>
  <si>
    <t>This calculation assumes: 
1. Global recruitment will be identical to the past five years 
2. Average training times and attrition rates will be identical to the past five years
3. Consultants will retire at 60 years
4. Prevalence of LTFT will increase in a linear fashion.</t>
  </si>
  <si>
    <r>
      <t xml:space="preserve">Total CR consultant shortfall </t>
    </r>
    <r>
      <rPr>
        <i/>
        <sz val="10"/>
        <rFont val="Arial"/>
        <family val="2"/>
      </rPr>
      <t>(sum of above)</t>
    </r>
  </si>
  <si>
    <t>Average Supporting Professional Activities (SPAs) - FT CR consultants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</si>
</sst>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quot;£&quot;#,##0"/>
    <numFmt numFmtId="166" formatCode="&quot;£&quot;#,##0.00"/>
    <numFmt numFmtId="167" formatCode="_(* #,##0_);_(* \(#,##0\);_(* &quot;-&quot;??_);_(@_)"/>
    <numFmt numFmtId="168" formatCode="#,##0.0"/>
  </numFmts>
  <fonts count="51"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0"/>
      <color theme="0"/>
      <name val="Arial"/>
      <family val="2"/>
    </font>
    <font>
      <b/>
      <sz val="10"/>
      <name val="Arial"/>
      <family val="2"/>
    </font>
    <font>
      <sz val="10"/>
      <name val="Arial"/>
      <family val="2"/>
    </font>
    <font>
      <sz val="10"/>
      <color rgb="FFFF0000"/>
      <name val="Arial"/>
      <family val="2"/>
    </font>
    <font>
      <i/>
      <sz val="10"/>
      <name val="Arial"/>
      <family val="2"/>
    </font>
    <font>
      <i/>
      <sz val="9"/>
      <name val="Arial"/>
      <family val="2"/>
    </font>
    <font>
      <b/>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
      <b/>
      <sz val="12"/>
      <color rgb="FFFF0000"/>
      <name val="Arial"/>
      <family val="2"/>
    </font>
    <font>
      <sz val="11"/>
      <name val="Verdana"/>
      <family val="2"/>
    </font>
    <font>
      <b/>
      <sz val="18"/>
      <color theme="0"/>
      <name val="Arial"/>
      <family val="2"/>
    </font>
    <font>
      <u/>
      <sz val="11"/>
      <color theme="10"/>
      <name val="Calibri"/>
      <family val="2"/>
      <scheme val="minor"/>
    </font>
    <font>
      <sz val="11"/>
      <color rgb="FF000000"/>
      <name val="Arial"/>
      <family val="2"/>
    </font>
    <font>
      <b/>
      <sz val="11"/>
      <color rgb="FFBF83B9"/>
      <name val="Arial"/>
      <family val="2"/>
    </font>
    <font>
      <sz val="11"/>
      <color theme="1"/>
      <name val="Arial"/>
      <family val="2"/>
    </font>
    <font>
      <sz val="11"/>
      <color rgb="FFFF0000"/>
      <name val="Arial"/>
      <family val="2"/>
    </font>
    <font>
      <u/>
      <sz val="11"/>
      <color theme="10"/>
      <name val="Arial"/>
      <family val="2"/>
    </font>
    <font>
      <vertAlign val="superscript"/>
      <sz val="11"/>
      <color rgb="FF000000"/>
      <name val="Arial"/>
      <family val="2"/>
    </font>
    <font>
      <b/>
      <sz val="11"/>
      <color rgb="FF2D053C"/>
      <name val="Arial"/>
      <family val="2"/>
    </font>
    <font>
      <sz val="11"/>
      <color theme="0" tint="-0.34998626667073579"/>
      <name val="Arial"/>
      <family val="2"/>
    </font>
    <font>
      <sz val="11"/>
      <color theme="5"/>
      <name val="Arial"/>
      <family val="2"/>
    </font>
    <font>
      <b/>
      <sz val="11"/>
      <color theme="5"/>
      <name val="Arial"/>
      <family val="2"/>
    </font>
    <font>
      <b/>
      <sz val="11"/>
      <color theme="4"/>
      <name val="Arial"/>
      <family val="2"/>
    </font>
    <font>
      <b/>
      <sz val="11"/>
      <color theme="1"/>
      <name val="Arial"/>
      <family val="2"/>
    </font>
    <font>
      <b/>
      <sz val="11"/>
      <color theme="3"/>
      <name val="Arial"/>
      <family val="2"/>
    </font>
    <font>
      <i/>
      <sz val="11"/>
      <color rgb="FF2D053C"/>
      <name val="Arial"/>
      <family val="2"/>
    </font>
    <font>
      <sz val="11"/>
      <color theme="4"/>
      <name val="Arial"/>
      <family val="2"/>
    </font>
    <font>
      <sz val="12"/>
      <color theme="1"/>
      <name val="Arial"/>
      <family val="2"/>
    </font>
    <font>
      <sz val="9"/>
      <color theme="1"/>
      <name val="Arial"/>
      <family val="2"/>
    </font>
    <font>
      <i/>
      <sz val="9"/>
      <color theme="1"/>
      <name val="Arial"/>
      <family val="2"/>
    </font>
    <font>
      <vertAlign val="superscript"/>
      <sz val="11"/>
      <color theme="1"/>
      <name val="Arial"/>
      <family val="2"/>
    </font>
    <font>
      <sz val="10"/>
      <color theme="5" tint="-0.249977111117893"/>
      <name val="Arial"/>
      <family val="2"/>
    </font>
  </fonts>
  <fills count="43">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rgb="FF2D053C"/>
        <bgColor indexed="64"/>
      </patternFill>
    </fill>
    <fill>
      <patternFill patternType="solid">
        <fgColor theme="5" tint="0.79998168889431442"/>
        <bgColor indexed="64"/>
      </patternFill>
    </fill>
    <fill>
      <patternFill patternType="solid">
        <fgColor theme="3"/>
        <bgColor indexed="64"/>
      </patternFill>
    </fill>
    <fill>
      <patternFill patternType="solid">
        <fgColor theme="9"/>
        <bgColor indexed="64"/>
      </patternFill>
    </fill>
    <fill>
      <patternFill patternType="solid">
        <fgColor theme="9"/>
        <bgColor theme="4" tint="0.79998168889431442"/>
      </patternFill>
    </fill>
    <fill>
      <patternFill patternType="solid">
        <fgColor theme="0"/>
        <bgColor theme="4" tint="0.79998168889431442"/>
      </patternFill>
    </fill>
    <fill>
      <patternFill patternType="solid">
        <fgColor rgb="FF69FFAD"/>
        <bgColor indexed="64"/>
      </patternFill>
    </fill>
    <fill>
      <patternFill patternType="solid">
        <fgColor rgb="FFD5DCFF"/>
        <bgColor indexed="64"/>
      </patternFill>
    </fill>
  </fills>
  <borders count="74">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style="medium">
        <color auto="1"/>
      </top>
      <bottom style="dashed">
        <color auto="1"/>
      </bottom>
      <diagonal/>
    </border>
    <border>
      <left style="medium">
        <color auto="1"/>
      </left>
      <right style="medium">
        <color auto="1"/>
      </right>
      <top/>
      <bottom style="medium">
        <color auto="1"/>
      </bottom>
      <diagonal/>
    </border>
    <border>
      <left/>
      <right/>
      <top style="thick">
        <color auto="1"/>
      </top>
      <bottom style="thick">
        <color auto="1"/>
      </bottom>
      <diagonal/>
    </border>
    <border>
      <left style="medium">
        <color auto="1"/>
      </left>
      <right/>
      <top style="medium">
        <color auto="1"/>
      </top>
      <bottom style="dashed">
        <color auto="1"/>
      </bottom>
      <diagonal/>
    </border>
    <border>
      <left/>
      <right style="medium">
        <color auto="1"/>
      </right>
      <top/>
      <bottom style="dashed">
        <color auto="1"/>
      </bottom>
      <diagonal/>
    </border>
    <border>
      <left style="medium">
        <color auto="1"/>
      </left>
      <right style="medium">
        <color auto="1"/>
      </right>
      <top/>
      <bottom style="hair">
        <color auto="1"/>
      </bottom>
      <diagonal/>
    </border>
    <border>
      <left style="medium">
        <color auto="1"/>
      </left>
      <right style="medium">
        <color auto="1"/>
      </right>
      <top style="dashed">
        <color auto="1"/>
      </top>
      <bottom/>
      <diagonal/>
    </border>
    <border>
      <left style="medium">
        <color auto="1"/>
      </left>
      <right style="medium">
        <color auto="1"/>
      </right>
      <top style="hair">
        <color auto="1"/>
      </top>
      <bottom/>
      <diagonal/>
    </border>
    <border>
      <left style="medium">
        <color auto="1"/>
      </left>
      <right style="medium">
        <color auto="1"/>
      </right>
      <top/>
      <bottom style="dashed">
        <color auto="1"/>
      </bottom>
      <diagonal/>
    </border>
    <border>
      <left style="medium">
        <color auto="1"/>
      </left>
      <right style="medium">
        <color auto="1"/>
      </right>
      <top style="dashed">
        <color auto="1"/>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right/>
      <top/>
      <bottom style="medium">
        <color auto="1"/>
      </bottom>
      <diagonal/>
    </border>
    <border>
      <left style="medium">
        <color auto="1"/>
      </left>
      <right/>
      <top/>
      <bottom style="dashed">
        <color auto="1"/>
      </bottom>
      <diagonal/>
    </border>
    <border>
      <left/>
      <right/>
      <top style="medium">
        <color auto="1"/>
      </top>
      <bottom style="dashed">
        <color auto="1"/>
      </bottom>
      <diagonal/>
    </border>
    <border>
      <left/>
      <right style="medium">
        <color auto="1"/>
      </right>
      <top/>
      <bottom/>
      <diagonal/>
    </border>
    <border>
      <left style="medium">
        <color auto="1"/>
      </left>
      <right style="medium">
        <color auto="1"/>
      </right>
      <top style="dotted">
        <color auto="1"/>
      </top>
      <bottom style="dotted">
        <color auto="1"/>
      </bottom>
      <diagonal/>
    </border>
    <border>
      <left/>
      <right style="medium">
        <color auto="1"/>
      </right>
      <top style="dashed">
        <color auto="1"/>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style="medium">
        <color auto="1"/>
      </left>
      <right style="medium">
        <color auto="1"/>
      </right>
      <top style="dashed">
        <color auto="1"/>
      </top>
      <bottom style="dashed">
        <color auto="1"/>
      </bottom>
      <diagonal/>
    </border>
    <border>
      <left/>
      <right/>
      <top style="thin">
        <color theme="4" tint="0.39997558519241921"/>
      </top>
      <bottom/>
      <diagonal/>
    </border>
    <border>
      <left style="medium">
        <color indexed="64"/>
      </left>
      <right style="double">
        <color indexed="64"/>
      </right>
      <top style="medium">
        <color indexed="64"/>
      </top>
      <bottom style="medium">
        <color indexed="64"/>
      </bottom>
      <diagonal/>
    </border>
    <border>
      <left style="medium">
        <color auto="1"/>
      </left>
      <right style="double">
        <color indexed="64"/>
      </right>
      <top style="medium">
        <color indexed="64"/>
      </top>
      <bottom/>
      <diagonal/>
    </border>
    <border>
      <left style="medium">
        <color auto="1"/>
      </left>
      <right style="double">
        <color indexed="64"/>
      </right>
      <top style="medium">
        <color auto="1"/>
      </top>
      <bottom style="dashed">
        <color auto="1"/>
      </bottom>
      <diagonal/>
    </border>
    <border>
      <left style="medium">
        <color auto="1"/>
      </left>
      <right style="double">
        <color indexed="64"/>
      </right>
      <top/>
      <bottom/>
      <diagonal/>
    </border>
    <border>
      <left style="medium">
        <color auto="1"/>
      </left>
      <right style="double">
        <color indexed="64"/>
      </right>
      <top/>
      <bottom style="hair">
        <color auto="1"/>
      </bottom>
      <diagonal/>
    </border>
    <border>
      <left style="medium">
        <color auto="1"/>
      </left>
      <right style="double">
        <color indexed="64"/>
      </right>
      <top style="hair">
        <color auto="1"/>
      </top>
      <bottom/>
      <diagonal/>
    </border>
    <border>
      <left style="medium">
        <color auto="1"/>
      </left>
      <right style="double">
        <color indexed="64"/>
      </right>
      <top style="dashed">
        <color auto="1"/>
      </top>
      <bottom/>
      <diagonal/>
    </border>
    <border>
      <left style="medium">
        <color auto="1"/>
      </left>
      <right style="double">
        <color indexed="64"/>
      </right>
      <top/>
      <bottom style="dashed">
        <color auto="1"/>
      </bottom>
      <diagonal/>
    </border>
    <border>
      <left style="medium">
        <color auto="1"/>
      </left>
      <right style="double">
        <color indexed="64"/>
      </right>
      <top style="dashed">
        <color auto="1"/>
      </top>
      <bottom style="medium">
        <color auto="1"/>
      </bottom>
      <diagonal/>
    </border>
    <border>
      <left/>
      <right style="double">
        <color indexed="64"/>
      </right>
      <top/>
      <bottom style="dashed">
        <color auto="1"/>
      </bottom>
      <diagonal/>
    </border>
    <border>
      <left style="medium">
        <color auto="1"/>
      </left>
      <right style="double">
        <color indexed="64"/>
      </right>
      <top style="dotted">
        <color auto="1"/>
      </top>
      <bottom style="dotted">
        <color auto="1"/>
      </bottom>
      <diagonal/>
    </border>
    <border>
      <left style="medium">
        <color auto="1"/>
      </left>
      <right style="double">
        <color indexed="64"/>
      </right>
      <top/>
      <bottom style="medium">
        <color auto="1"/>
      </bottom>
      <diagonal/>
    </border>
    <border>
      <left/>
      <right style="double">
        <color indexed="64"/>
      </right>
      <top/>
      <bottom/>
      <diagonal/>
    </border>
    <border>
      <left style="thin">
        <color indexed="64"/>
      </left>
      <right style="thin">
        <color indexed="64"/>
      </right>
      <top style="hair">
        <color indexed="64"/>
      </top>
      <bottom style="hair">
        <color indexed="64"/>
      </bottom>
      <diagonal/>
    </border>
    <border>
      <left/>
      <right/>
      <top style="medium">
        <color auto="1"/>
      </top>
      <bottom style="medium">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ashed">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double">
        <color indexed="64"/>
      </right>
      <top style="medium">
        <color auto="1"/>
      </top>
      <bottom style="dashed">
        <color auto="1"/>
      </bottom>
      <diagonal/>
    </border>
    <border>
      <left/>
      <right style="double">
        <color indexed="64"/>
      </right>
      <top/>
      <bottom style="medium">
        <color auto="1"/>
      </bottom>
      <diagonal/>
    </border>
    <border>
      <left style="medium">
        <color auto="1"/>
      </left>
      <right style="double">
        <color indexed="64"/>
      </right>
      <top style="dashed">
        <color auto="1"/>
      </top>
      <bottom style="dashed">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bottom/>
      <diagonal/>
    </border>
    <border>
      <left/>
      <right/>
      <top style="medium">
        <color auto="1"/>
      </top>
      <bottom/>
      <diagonal/>
    </border>
    <border>
      <left/>
      <right/>
      <top style="thick">
        <color auto="1"/>
      </top>
      <bottom/>
      <diagonal/>
    </border>
    <border>
      <left/>
      <right/>
      <top style="thin">
        <color indexed="64"/>
      </top>
      <bottom style="thin">
        <color indexed="64"/>
      </bottom>
      <diagonal/>
    </border>
    <border>
      <left style="medium">
        <color auto="1"/>
      </left>
      <right style="double">
        <color auto="1"/>
      </right>
      <top style="hair">
        <color auto="1"/>
      </top>
      <bottom style="dashed">
        <color auto="1"/>
      </bottom>
      <diagonal/>
    </border>
    <border>
      <left/>
      <right style="double">
        <color auto="1"/>
      </right>
      <top style="thin">
        <color theme="4" tint="0.39997558519241921"/>
      </top>
      <bottom/>
      <diagonal/>
    </border>
    <border>
      <left style="medium">
        <color auto="1"/>
      </left>
      <right/>
      <top/>
      <bottom style="medium">
        <color auto="1"/>
      </bottom>
      <diagonal/>
    </border>
  </borders>
  <cellStyleXfs count="48">
    <xf numFmtId="0" fontId="0" fillId="0" borderId="0"/>
    <xf numFmtId="0" fontId="1" fillId="0" borderId="0"/>
    <xf numFmtId="43" fontId="1" fillId="0" borderId="0" applyFont="0" applyFill="0" applyBorder="0" applyAlignment="0" applyProtection="0"/>
    <xf numFmtId="0" fontId="1" fillId="0" borderId="0"/>
    <xf numFmtId="0" fontId="6" fillId="0" borderId="0"/>
    <xf numFmtId="0" fontId="11" fillId="0" borderId="0" applyNumberFormat="0" applyFill="0" applyBorder="0" applyAlignment="0" applyProtection="0"/>
    <xf numFmtId="0" fontId="12" fillId="0" borderId="40" applyNumberFormat="0" applyFill="0" applyAlignment="0" applyProtection="0"/>
    <xf numFmtId="0" fontId="13" fillId="0" borderId="41" applyNumberFormat="0" applyFill="0" applyAlignment="0" applyProtection="0"/>
    <xf numFmtId="0" fontId="14" fillId="0" borderId="42" applyNumberFormat="0" applyFill="0" applyAlignment="0" applyProtection="0"/>
    <xf numFmtId="0" fontId="14" fillId="0" borderId="0" applyNumberFormat="0" applyFill="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43" applyNumberFormat="0" applyAlignment="0" applyProtection="0"/>
    <xf numFmtId="0" fontId="19" fillId="7" borderId="44" applyNumberFormat="0" applyAlignment="0" applyProtection="0"/>
    <xf numFmtId="0" fontId="20" fillId="7" borderId="43" applyNumberFormat="0" applyAlignment="0" applyProtection="0"/>
    <xf numFmtId="0" fontId="21" fillId="0" borderId="45" applyNumberFormat="0" applyFill="0" applyAlignment="0" applyProtection="0"/>
    <xf numFmtId="0" fontId="22" fillId="8" borderId="46" applyNumberFormat="0" applyAlignment="0" applyProtection="0"/>
    <xf numFmtId="0" fontId="23" fillId="0" borderId="0" applyNumberFormat="0" applyFill="0" applyBorder="0" applyAlignment="0" applyProtection="0"/>
    <xf numFmtId="0" fontId="1" fillId="9" borderId="47" applyNumberFormat="0" applyFont="0" applyAlignment="0" applyProtection="0"/>
    <xf numFmtId="0" fontId="24" fillId="0" borderId="0" applyNumberFormat="0" applyFill="0" applyBorder="0" applyAlignment="0" applyProtection="0"/>
    <xf numFmtId="0" fontId="10" fillId="0" borderId="48" applyNumberFormat="0" applyFill="0" applyAlignment="0" applyProtection="0"/>
    <xf numFmtId="0" fontId="25"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5"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5"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5"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5"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5"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8" fillId="0" borderId="0"/>
    <xf numFmtId="0" fontId="30" fillId="0" borderId="0" applyNumberFormat="0" applyFill="0" applyBorder="0" applyAlignment="0" applyProtection="0"/>
  </cellStyleXfs>
  <cellXfs count="254">
    <xf numFmtId="0" fontId="0" fillId="0" borderId="0" xfId="0"/>
    <xf numFmtId="0" fontId="2" fillId="0" borderId="0" xfId="0" applyFont="1" applyAlignment="1">
      <alignment vertical="top" wrapText="1"/>
    </xf>
    <xf numFmtId="0" fontId="5" fillId="2" borderId="2" xfId="0" applyFont="1" applyFill="1" applyBorder="1" applyAlignment="1">
      <alignment horizontal="left" vertical="top" wrapText="1"/>
    </xf>
    <xf numFmtId="0" fontId="6" fillId="2" borderId="2" xfId="0" applyFont="1" applyFill="1" applyBorder="1" applyAlignment="1">
      <alignment horizontal="left" vertical="center" wrapText="1"/>
    </xf>
    <xf numFmtId="0" fontId="6" fillId="2" borderId="2" xfId="0" applyFont="1" applyFill="1" applyBorder="1" applyAlignment="1">
      <alignment horizontal="left" vertical="top" wrapText="1"/>
    </xf>
    <xf numFmtId="9" fontId="2" fillId="2" borderId="2" xfId="1" applyNumberFormat="1" applyFont="1" applyFill="1" applyBorder="1" applyAlignment="1">
      <alignment horizontal="left" vertical="center"/>
    </xf>
    <xf numFmtId="0" fontId="6" fillId="2" borderId="4" xfId="0" applyFont="1" applyFill="1" applyBorder="1" applyAlignment="1">
      <alignment horizontal="left" vertical="top" wrapText="1"/>
    </xf>
    <xf numFmtId="0" fontId="6" fillId="2" borderId="0" xfId="0" applyFont="1" applyFill="1" applyAlignment="1">
      <alignment horizontal="left" vertical="top" wrapText="1"/>
    </xf>
    <xf numFmtId="3" fontId="2" fillId="2" borderId="2" xfId="1" applyNumberFormat="1" applyFont="1" applyFill="1" applyBorder="1" applyAlignment="1">
      <alignment horizontal="left" vertical="center"/>
    </xf>
    <xf numFmtId="0" fontId="8" fillId="2" borderId="2" xfId="0" applyFont="1" applyFill="1" applyBorder="1" applyAlignment="1">
      <alignment horizontal="left" vertical="top" wrapText="1" indent="1"/>
    </xf>
    <xf numFmtId="0" fontId="6" fillId="2" borderId="9" xfId="0" applyFont="1" applyFill="1" applyBorder="1" applyAlignment="1">
      <alignment horizontal="left" vertical="top" wrapText="1"/>
    </xf>
    <xf numFmtId="0" fontId="8" fillId="2" borderId="2" xfId="0" applyFont="1" applyFill="1" applyBorder="1" applyAlignment="1">
      <alignment horizontal="left" vertical="top" wrapText="1"/>
    </xf>
    <xf numFmtId="1" fontId="6" fillId="2" borderId="2" xfId="1" applyNumberFormat="1" applyFont="1" applyFill="1" applyBorder="1" applyAlignment="1">
      <alignment horizontal="left" vertical="center" wrapText="1"/>
    </xf>
    <xf numFmtId="0" fontId="6" fillId="2" borderId="10" xfId="0" applyFont="1" applyFill="1" applyBorder="1" applyAlignment="1">
      <alignment horizontal="left" vertical="top" wrapText="1"/>
    </xf>
    <xf numFmtId="0" fontId="6" fillId="2" borderId="12" xfId="0" applyFont="1" applyFill="1" applyBorder="1" applyAlignment="1">
      <alignment horizontal="left" vertical="top" wrapText="1"/>
    </xf>
    <xf numFmtId="3" fontId="6" fillId="2" borderId="12" xfId="0" applyNumberFormat="1" applyFont="1" applyFill="1" applyBorder="1" applyAlignment="1">
      <alignment horizontal="left" vertical="center"/>
    </xf>
    <xf numFmtId="1" fontId="6" fillId="2" borderId="2" xfId="0" applyNumberFormat="1" applyFont="1" applyFill="1" applyBorder="1" applyAlignment="1">
      <alignment horizontal="left" vertical="center"/>
    </xf>
    <xf numFmtId="164" fontId="6" fillId="2" borderId="2" xfId="0" applyNumberFormat="1" applyFont="1" applyFill="1" applyBorder="1" applyAlignment="1">
      <alignment horizontal="left" vertical="center"/>
    </xf>
    <xf numFmtId="164" fontId="6" fillId="2" borderId="2" xfId="0" applyNumberFormat="1" applyFont="1" applyFill="1" applyBorder="1" applyAlignment="1">
      <alignment horizontal="left" vertical="top" wrapText="1"/>
    </xf>
    <xf numFmtId="3" fontId="6" fillId="2" borderId="9" xfId="1" applyNumberFormat="1" applyFont="1" applyFill="1" applyBorder="1" applyAlignment="1">
      <alignment horizontal="left" vertical="center" wrapText="1"/>
    </xf>
    <xf numFmtId="164" fontId="6" fillId="2" borderId="4" xfId="0" applyNumberFormat="1" applyFont="1" applyFill="1" applyBorder="1" applyAlignment="1">
      <alignment horizontal="left" vertical="center"/>
    </xf>
    <xf numFmtId="0" fontId="6" fillId="2" borderId="8" xfId="0" applyFont="1" applyFill="1" applyBorder="1" applyAlignment="1">
      <alignment horizontal="left" vertical="top" wrapText="1"/>
    </xf>
    <xf numFmtId="0" fontId="5" fillId="2" borderId="4" xfId="0" applyFont="1" applyFill="1" applyBorder="1" applyAlignment="1">
      <alignment horizontal="left" vertical="top" wrapText="1"/>
    </xf>
    <xf numFmtId="0" fontId="2" fillId="0" borderId="15" xfId="0" applyFont="1" applyBorder="1" applyAlignment="1">
      <alignment vertical="top" wrapText="1"/>
    </xf>
    <xf numFmtId="0" fontId="5" fillId="2" borderId="2" xfId="0" applyFont="1" applyFill="1" applyBorder="1" applyAlignment="1">
      <alignment horizontal="left" vertical="center" wrapText="1"/>
    </xf>
    <xf numFmtId="0" fontId="7" fillId="2" borderId="18" xfId="0" applyFont="1" applyFill="1" applyBorder="1" applyAlignment="1">
      <alignment horizontal="left" vertical="center"/>
    </xf>
    <xf numFmtId="0" fontId="7" fillId="2" borderId="2" xfId="0" applyFont="1" applyFill="1" applyBorder="1" applyAlignment="1">
      <alignment horizontal="left" vertical="center"/>
    </xf>
    <xf numFmtId="0" fontId="6" fillId="2" borderId="19" xfId="0" applyFont="1" applyFill="1" applyBorder="1" applyAlignment="1">
      <alignment horizontal="left" vertical="center" wrapText="1"/>
    </xf>
    <xf numFmtId="0" fontId="6" fillId="2" borderId="12" xfId="0" applyFont="1" applyFill="1" applyBorder="1" applyAlignment="1">
      <alignment horizontal="left" vertical="center" wrapText="1"/>
    </xf>
    <xf numFmtId="3" fontId="6" fillId="2" borderId="21" xfId="0" applyNumberFormat="1" applyFont="1" applyFill="1" applyBorder="1" applyAlignment="1">
      <alignment horizontal="left" vertical="center"/>
    </xf>
    <xf numFmtId="3" fontId="6" fillId="2" borderId="4" xfId="0" applyNumberFormat="1" applyFont="1" applyFill="1" applyBorder="1" applyAlignment="1">
      <alignment horizontal="left" vertical="center"/>
    </xf>
    <xf numFmtId="0" fontId="5" fillId="2" borderId="14" xfId="0" applyFont="1" applyFill="1" applyBorder="1" applyAlignment="1">
      <alignment horizontal="left" vertical="center" wrapText="1"/>
    </xf>
    <xf numFmtId="9" fontId="7" fillId="2" borderId="22" xfId="0" applyNumberFormat="1" applyFont="1" applyFill="1" applyBorder="1" applyAlignment="1">
      <alignment horizontal="left" vertical="center"/>
    </xf>
    <xf numFmtId="9" fontId="7" fillId="2" borderId="14" xfId="0" applyNumberFormat="1" applyFont="1" applyFill="1" applyBorder="1" applyAlignment="1">
      <alignment horizontal="left" vertical="center"/>
    </xf>
    <xf numFmtId="0" fontId="6" fillId="2" borderId="4" xfId="0" applyFont="1" applyFill="1" applyBorder="1" applyAlignment="1">
      <alignment horizontal="left" vertical="center" wrapText="1"/>
    </xf>
    <xf numFmtId="9" fontId="2" fillId="2" borderId="0" xfId="1" applyNumberFormat="1" applyFont="1" applyFill="1" applyAlignment="1">
      <alignment horizontal="left" vertical="center"/>
    </xf>
    <xf numFmtId="0" fontId="6" fillId="2" borderId="26" xfId="0" applyFont="1" applyFill="1" applyBorder="1" applyAlignment="1">
      <alignment horizontal="left" vertical="center" wrapText="1"/>
    </xf>
    <xf numFmtId="3" fontId="2" fillId="2" borderId="28" xfId="1" applyNumberFormat="1" applyFont="1" applyFill="1" applyBorder="1" applyAlignment="1">
      <alignment horizontal="left" vertical="center"/>
    </xf>
    <xf numFmtId="1" fontId="6" fillId="2" borderId="28" xfId="1" applyNumberFormat="1" applyFont="1" applyFill="1" applyBorder="1" applyAlignment="1">
      <alignment horizontal="left" vertical="center" wrapText="1"/>
    </xf>
    <xf numFmtId="1" fontId="6" fillId="2" borderId="28" xfId="0" applyNumberFormat="1" applyFont="1" applyFill="1" applyBorder="1" applyAlignment="1">
      <alignment horizontal="left" vertical="center"/>
    </xf>
    <xf numFmtId="9" fontId="2" fillId="2" borderId="31" xfId="0" applyNumberFormat="1" applyFont="1" applyFill="1" applyBorder="1" applyAlignment="1">
      <alignment horizontal="left" vertical="center" wrapText="1"/>
    </xf>
    <xf numFmtId="9" fontId="6" fillId="2" borderId="28" xfId="0" applyNumberFormat="1" applyFont="1" applyFill="1" applyBorder="1" applyAlignment="1">
      <alignment horizontal="left" vertical="center"/>
    </xf>
    <xf numFmtId="9" fontId="6" fillId="0" borderId="31" xfId="0" applyNumberFormat="1" applyFont="1" applyBorder="1" applyAlignment="1">
      <alignment horizontal="left" vertical="center" wrapText="1"/>
    </xf>
    <xf numFmtId="3" fontId="6" fillId="2" borderId="31" xfId="1" applyNumberFormat="1" applyFont="1" applyFill="1" applyBorder="1" applyAlignment="1">
      <alignment horizontal="left" vertical="center" wrapText="1"/>
    </xf>
    <xf numFmtId="0" fontId="7" fillId="2" borderId="28" xfId="0" applyFont="1" applyFill="1" applyBorder="1" applyAlignment="1">
      <alignment horizontal="left" vertical="center"/>
    </xf>
    <xf numFmtId="3" fontId="6" fillId="2" borderId="36" xfId="0" applyNumberFormat="1" applyFont="1" applyFill="1" applyBorder="1" applyAlignment="1">
      <alignment horizontal="left" vertical="center"/>
    </xf>
    <xf numFmtId="9" fontId="7" fillId="2" borderId="26" xfId="0" applyNumberFormat="1" applyFont="1" applyFill="1" applyBorder="1" applyAlignment="1">
      <alignment horizontal="left" vertical="center"/>
    </xf>
    <xf numFmtId="9" fontId="2" fillId="2" borderId="28" xfId="1" applyNumberFormat="1" applyFont="1" applyFill="1" applyBorder="1" applyAlignment="1">
      <alignment horizontal="left" vertical="center"/>
    </xf>
    <xf numFmtId="1" fontId="6" fillId="2" borderId="7" xfId="0" applyNumberFormat="1" applyFont="1" applyFill="1" applyBorder="1" applyAlignment="1">
      <alignment horizontal="left" vertical="center"/>
    </xf>
    <xf numFmtId="1" fontId="6" fillId="2" borderId="11" xfId="0" applyNumberFormat="1" applyFont="1" applyFill="1" applyBorder="1" applyAlignment="1">
      <alignment horizontal="left" vertical="center"/>
    </xf>
    <xf numFmtId="3" fontId="6" fillId="2" borderId="32" xfId="0" applyNumberFormat="1" applyFont="1" applyFill="1" applyBorder="1" applyAlignment="1">
      <alignment horizontal="left" vertical="center"/>
    </xf>
    <xf numFmtId="9" fontId="2" fillId="2" borderId="9" xfId="1" applyNumberFormat="1" applyFont="1" applyFill="1" applyBorder="1" applyAlignment="1">
      <alignment horizontal="left" vertical="center"/>
    </xf>
    <xf numFmtId="3" fontId="6" fillId="0" borderId="9" xfId="1" applyNumberFormat="1" applyFont="1" applyBorder="1" applyAlignment="1">
      <alignment horizontal="left" vertical="center"/>
    </xf>
    <xf numFmtId="3" fontId="6" fillId="0" borderId="31" xfId="1" applyNumberFormat="1" applyFont="1" applyBorder="1" applyAlignment="1">
      <alignment horizontal="left" vertical="center"/>
    </xf>
    <xf numFmtId="3" fontId="6" fillId="2" borderId="28" xfId="1" applyNumberFormat="1" applyFont="1" applyFill="1" applyBorder="1" applyAlignment="1">
      <alignment horizontal="left" vertical="center"/>
    </xf>
    <xf numFmtId="1" fontId="2" fillId="2" borderId="2" xfId="1" applyNumberFormat="1" applyFont="1" applyFill="1" applyBorder="1" applyAlignment="1">
      <alignment horizontal="left" vertical="center"/>
    </xf>
    <xf numFmtId="1" fontId="2" fillId="2" borderId="18" xfId="0" applyNumberFormat="1" applyFont="1" applyFill="1" applyBorder="1" applyAlignment="1">
      <alignment horizontal="left"/>
    </xf>
    <xf numFmtId="1" fontId="2" fillId="2" borderId="2" xfId="0" applyNumberFormat="1" applyFont="1" applyFill="1" applyBorder="1" applyAlignment="1">
      <alignment horizontal="left"/>
    </xf>
    <xf numFmtId="1" fontId="2" fillId="2" borderId="28" xfId="0" applyNumberFormat="1" applyFont="1" applyFill="1" applyBorder="1" applyAlignment="1">
      <alignment horizontal="left"/>
    </xf>
    <xf numFmtId="9" fontId="2" fillId="2" borderId="35" xfId="0" applyNumberFormat="1" applyFont="1" applyFill="1" applyBorder="1" applyAlignment="1">
      <alignment horizontal="left"/>
    </xf>
    <xf numFmtId="3" fontId="6" fillId="2" borderId="20" xfId="0" applyNumberFormat="1" applyFont="1" applyFill="1" applyBorder="1" applyAlignment="1">
      <alignment horizontal="left" vertical="center"/>
    </xf>
    <xf numFmtId="3" fontId="6" fillId="2" borderId="33" xfId="0" applyNumberFormat="1" applyFont="1" applyFill="1" applyBorder="1" applyAlignment="1">
      <alignment horizontal="left" vertical="center"/>
    </xf>
    <xf numFmtId="3" fontId="26" fillId="2" borderId="2" xfId="1" applyNumberFormat="1" applyFont="1" applyFill="1" applyBorder="1" applyAlignment="1">
      <alignment horizontal="left" vertical="center"/>
    </xf>
    <xf numFmtId="3" fontId="26" fillId="2" borderId="28" xfId="1" applyNumberFormat="1" applyFont="1" applyFill="1" applyBorder="1" applyAlignment="1">
      <alignment horizontal="left" vertical="center"/>
    </xf>
    <xf numFmtId="1" fontId="6" fillId="2" borderId="10" xfId="0" applyNumberFormat="1" applyFont="1" applyFill="1" applyBorder="1" applyAlignment="1">
      <alignment horizontal="left" vertical="center"/>
    </xf>
    <xf numFmtId="1" fontId="6" fillId="2" borderId="30" xfId="0" applyNumberFormat="1" applyFont="1" applyFill="1" applyBorder="1" applyAlignment="1">
      <alignment horizontal="left" vertical="center"/>
    </xf>
    <xf numFmtId="165" fontId="6" fillId="2" borderId="4" xfId="0" applyNumberFormat="1" applyFont="1" applyFill="1" applyBorder="1" applyAlignment="1">
      <alignment horizontal="right" vertical="center"/>
    </xf>
    <xf numFmtId="166" fontId="6" fillId="2" borderId="14" xfId="0" applyNumberFormat="1" applyFont="1" applyFill="1" applyBorder="1" applyAlignment="1">
      <alignment horizontal="right" vertical="center"/>
    </xf>
    <xf numFmtId="165" fontId="2" fillId="2" borderId="2" xfId="1" applyNumberFormat="1" applyFont="1" applyFill="1" applyBorder="1" applyAlignment="1">
      <alignment horizontal="right" vertical="center"/>
    </xf>
    <xf numFmtId="165" fontId="2" fillId="0" borderId="2" xfId="1" applyNumberFormat="1" applyFont="1" applyBorder="1" applyAlignment="1">
      <alignment horizontal="right" vertical="center"/>
    </xf>
    <xf numFmtId="165" fontId="2" fillId="0" borderId="28" xfId="1" applyNumberFormat="1" applyFont="1" applyBorder="1" applyAlignment="1">
      <alignment horizontal="right" vertical="center"/>
    </xf>
    <xf numFmtId="165" fontId="6" fillId="2" borderId="12" xfId="0" applyNumberFormat="1" applyFont="1" applyFill="1" applyBorder="1" applyAlignment="1">
      <alignment horizontal="right" vertical="center"/>
    </xf>
    <xf numFmtId="166" fontId="6" fillId="2" borderId="26" xfId="0" applyNumberFormat="1" applyFont="1" applyFill="1" applyBorder="1" applyAlignment="1">
      <alignment horizontal="right" vertical="center"/>
    </xf>
    <xf numFmtId="3" fontId="6" fillId="2" borderId="2" xfId="1" applyNumberFormat="1" applyFont="1" applyFill="1" applyBorder="1" applyAlignment="1">
      <alignment horizontal="left" vertical="center"/>
    </xf>
    <xf numFmtId="9" fontId="2" fillId="2" borderId="11" xfId="1" applyNumberFormat="1" applyFont="1" applyFill="1" applyBorder="1" applyAlignment="1">
      <alignment horizontal="left" vertical="center"/>
    </xf>
    <xf numFmtId="9" fontId="2" fillId="2" borderId="23" xfId="1" applyNumberFormat="1" applyFont="1" applyFill="1" applyBorder="1" applyAlignment="1">
      <alignment horizontal="left" vertical="center"/>
    </xf>
    <xf numFmtId="164" fontId="6" fillId="2" borderId="36" xfId="0" applyNumberFormat="1" applyFont="1" applyFill="1" applyBorder="1" applyAlignment="1">
      <alignment horizontal="left" vertical="center"/>
    </xf>
    <xf numFmtId="9" fontId="2" fillId="2" borderId="39" xfId="1" applyNumberFormat="1" applyFont="1" applyFill="1" applyBorder="1" applyAlignment="1">
      <alignment horizontal="left" vertical="center"/>
    </xf>
    <xf numFmtId="9" fontId="6" fillId="2" borderId="53" xfId="0" applyNumberFormat="1" applyFont="1" applyFill="1" applyBorder="1" applyAlignment="1">
      <alignment horizontal="left" vertical="center" wrapText="1"/>
    </xf>
    <xf numFmtId="165" fontId="6" fillId="2" borderId="36" xfId="0" applyNumberFormat="1" applyFont="1" applyFill="1" applyBorder="1" applyAlignment="1">
      <alignment horizontal="right" vertical="center"/>
    </xf>
    <xf numFmtId="3" fontId="26" fillId="2" borderId="9" xfId="1" applyNumberFormat="1" applyFont="1" applyFill="1" applyBorder="1" applyAlignment="1">
      <alignment horizontal="left" vertical="center"/>
    </xf>
    <xf numFmtId="3" fontId="26" fillId="2" borderId="31" xfId="1" applyNumberFormat="1" applyFont="1" applyFill="1" applyBorder="1" applyAlignment="1">
      <alignment horizontal="left" vertical="center"/>
    </xf>
    <xf numFmtId="168" fontId="2" fillId="2" borderId="0" xfId="1" applyNumberFormat="1" applyFont="1" applyFill="1" applyAlignment="1">
      <alignment horizontal="left" vertical="center"/>
    </xf>
    <xf numFmtId="165" fontId="2" fillId="2" borderId="33" xfId="1" applyNumberFormat="1" applyFont="1" applyFill="1" applyBorder="1" applyAlignment="1">
      <alignment horizontal="right" vertical="center"/>
    </xf>
    <xf numFmtId="9" fontId="2" fillId="2" borderId="12" xfId="1" applyNumberFormat="1" applyFont="1" applyFill="1" applyBorder="1" applyAlignment="1">
      <alignment horizontal="left" vertical="center"/>
    </xf>
    <xf numFmtId="0" fontId="6" fillId="0" borderId="2" xfId="0" applyFont="1" applyBorder="1" applyAlignment="1">
      <alignment horizontal="left" vertical="top" wrapText="1"/>
    </xf>
    <xf numFmtId="0" fontId="8" fillId="0" borderId="2" xfId="0" applyFont="1" applyBorder="1" applyAlignment="1">
      <alignment horizontal="left" vertical="top" wrapText="1" indent="1"/>
    </xf>
    <xf numFmtId="0" fontId="6" fillId="0" borderId="9" xfId="0" applyFont="1" applyBorder="1" applyAlignment="1">
      <alignment horizontal="left" vertical="top" wrapText="1"/>
    </xf>
    <xf numFmtId="0" fontId="4" fillId="35" borderId="1" xfId="0" applyFont="1" applyFill="1" applyBorder="1" applyAlignment="1">
      <alignment horizontal="left" vertical="center" wrapText="1"/>
    </xf>
    <xf numFmtId="0" fontId="4" fillId="35" borderId="25" xfId="0" applyFont="1" applyFill="1" applyBorder="1" applyAlignment="1">
      <alignment horizontal="left" vertical="center" wrapText="1"/>
    </xf>
    <xf numFmtId="9" fontId="2" fillId="0" borderId="2" xfId="1" applyNumberFormat="1" applyFont="1" applyBorder="1" applyAlignment="1">
      <alignment horizontal="left" vertical="center"/>
    </xf>
    <xf numFmtId="9" fontId="2" fillId="2" borderId="33" xfId="0" applyNumberFormat="1" applyFont="1" applyFill="1" applyBorder="1" applyAlignment="1">
      <alignment horizontal="left" vertical="center" wrapText="1"/>
    </xf>
    <xf numFmtId="0" fontId="6" fillId="2" borderId="23" xfId="0" applyFont="1" applyFill="1" applyBorder="1" applyAlignment="1">
      <alignment horizontal="left" vertical="top" wrapText="1"/>
    </xf>
    <xf numFmtId="9" fontId="6" fillId="2" borderId="54" xfId="0" applyNumberFormat="1" applyFont="1" applyFill="1" applyBorder="1" applyAlignment="1">
      <alignment horizontal="left" vertical="center" wrapText="1"/>
    </xf>
    <xf numFmtId="164" fontId="6" fillId="2" borderId="28" xfId="0" applyNumberFormat="1" applyFont="1" applyFill="1" applyBorder="1" applyAlignment="1">
      <alignment horizontal="left" vertical="center"/>
    </xf>
    <xf numFmtId="0" fontId="6" fillId="2" borderId="23" xfId="0" applyFont="1" applyFill="1" applyBorder="1" applyAlignment="1">
      <alignment horizontal="left" vertical="center" wrapText="1"/>
    </xf>
    <xf numFmtId="9" fontId="6" fillId="2" borderId="54" xfId="0" applyNumberFormat="1" applyFont="1" applyFill="1" applyBorder="1" applyAlignment="1">
      <alignment horizontal="left" vertical="center"/>
    </xf>
    <xf numFmtId="165" fontId="27" fillId="37" borderId="0" xfId="0" applyNumberFormat="1" applyFont="1" applyFill="1" applyAlignment="1">
      <alignment horizontal="left" vertical="center"/>
    </xf>
    <xf numFmtId="0" fontId="33" fillId="0" borderId="0" xfId="0" applyFont="1"/>
    <xf numFmtId="0" fontId="33" fillId="37" borderId="0" xfId="0" applyFont="1" applyFill="1"/>
    <xf numFmtId="0" fontId="33" fillId="0" borderId="0" xfId="0" applyFont="1" applyAlignment="1">
      <alignment vertical="top" wrapText="1"/>
    </xf>
    <xf numFmtId="0" fontId="34" fillId="0" borderId="0" xfId="0" applyFont="1"/>
    <xf numFmtId="0" fontId="33" fillId="2" borderId="0" xfId="0" applyFont="1" applyFill="1"/>
    <xf numFmtId="0" fontId="33" fillId="2" borderId="5" xfId="0" applyFont="1" applyFill="1" applyBorder="1"/>
    <xf numFmtId="164" fontId="33" fillId="0" borderId="0" xfId="0" applyNumberFormat="1" applyFont="1"/>
    <xf numFmtId="3" fontId="33" fillId="0" borderId="0" xfId="0" applyNumberFormat="1" applyFont="1"/>
    <xf numFmtId="0" fontId="33" fillId="0" borderId="0" xfId="0" applyFont="1" applyAlignment="1">
      <alignment horizontal="right"/>
    </xf>
    <xf numFmtId="166" fontId="33" fillId="0" borderId="0" xfId="0" applyNumberFormat="1" applyFont="1"/>
    <xf numFmtId="0" fontId="33" fillId="0" borderId="15" xfId="0" applyFont="1" applyBorder="1"/>
    <xf numFmtId="164" fontId="34" fillId="0" borderId="0" xfId="0" applyNumberFormat="1" applyFont="1"/>
    <xf numFmtId="9" fontId="33" fillId="0" borderId="0" xfId="0" applyNumberFormat="1" applyFont="1"/>
    <xf numFmtId="0" fontId="5" fillId="38" borderId="3" xfId="0" applyFont="1" applyFill="1" applyBorder="1" applyAlignment="1">
      <alignment horizontal="left" vertical="top" wrapText="1"/>
    </xf>
    <xf numFmtId="0" fontId="7" fillId="38" borderId="3" xfId="0" applyFont="1" applyFill="1" applyBorder="1" applyAlignment="1">
      <alignment horizontal="left" vertical="center"/>
    </xf>
    <xf numFmtId="0" fontId="7" fillId="38" borderId="27" xfId="0" applyFont="1" applyFill="1" applyBorder="1" applyAlignment="1">
      <alignment horizontal="left" vertical="center"/>
    </xf>
    <xf numFmtId="0" fontId="5" fillId="38" borderId="6" xfId="0" applyFont="1" applyFill="1" applyBorder="1" applyAlignment="1">
      <alignment horizontal="left" vertical="top" wrapText="1"/>
    </xf>
    <xf numFmtId="0" fontId="7" fillId="38" borderId="0" xfId="0" applyFont="1" applyFill="1" applyAlignment="1">
      <alignment horizontal="left" vertical="center"/>
    </xf>
    <xf numFmtId="0" fontId="7" fillId="38" borderId="37" xfId="0" applyFont="1" applyFill="1" applyBorder="1" applyAlignment="1">
      <alignment horizontal="left" vertical="center"/>
    </xf>
    <xf numFmtId="9" fontId="6" fillId="38" borderId="17" xfId="0" applyNumberFormat="1" applyFont="1" applyFill="1" applyBorder="1" applyAlignment="1">
      <alignment horizontal="left" vertical="center"/>
    </xf>
    <xf numFmtId="9" fontId="6" fillId="38" borderId="52" xfId="0" applyNumberFormat="1" applyFont="1" applyFill="1" applyBorder="1" applyAlignment="1">
      <alignment horizontal="left" vertical="center"/>
    </xf>
    <xf numFmtId="1" fontId="7" fillId="38" borderId="17" xfId="0" applyNumberFormat="1" applyFont="1" applyFill="1" applyBorder="1" applyAlignment="1">
      <alignment horizontal="left" vertical="center"/>
    </xf>
    <xf numFmtId="1" fontId="7" fillId="38" borderId="52" xfId="0" applyNumberFormat="1" applyFont="1" applyFill="1" applyBorder="1" applyAlignment="1">
      <alignment horizontal="left" vertical="center"/>
    </xf>
    <xf numFmtId="0" fontId="5" fillId="38" borderId="16" xfId="0" applyFont="1" applyFill="1" applyBorder="1" applyAlignment="1">
      <alignment horizontal="left" vertical="center" wrapText="1"/>
    </xf>
    <xf numFmtId="0" fontId="5" fillId="38" borderId="17" xfId="0" applyFont="1" applyFill="1" applyBorder="1" applyAlignment="1">
      <alignment horizontal="left" vertical="center" wrapText="1"/>
    </xf>
    <xf numFmtId="0" fontId="5" fillId="38" borderId="34" xfId="0" applyFont="1" applyFill="1" applyBorder="1" applyAlignment="1">
      <alignment horizontal="left" vertical="center" wrapText="1"/>
    </xf>
    <xf numFmtId="0" fontId="5" fillId="38" borderId="23" xfId="0" applyFont="1" applyFill="1" applyBorder="1" applyAlignment="1">
      <alignment horizontal="left" vertical="center" wrapText="1"/>
    </xf>
    <xf numFmtId="0" fontId="5" fillId="38" borderId="12" xfId="0" applyFont="1" applyFill="1" applyBorder="1" applyAlignment="1">
      <alignment horizontal="left" vertical="center" wrapText="1"/>
    </xf>
    <xf numFmtId="0" fontId="33" fillId="38" borderId="2" xfId="0" applyFont="1" applyFill="1" applyBorder="1" applyAlignment="1">
      <alignment vertical="top" wrapText="1"/>
    </xf>
    <xf numFmtId="0" fontId="5" fillId="38" borderId="3" xfId="0" applyFont="1" applyFill="1" applyBorder="1" applyAlignment="1">
      <alignment horizontal="left" vertical="center" wrapText="1"/>
    </xf>
    <xf numFmtId="3" fontId="5" fillId="38" borderId="23" xfId="0" applyNumberFormat="1" applyFont="1" applyFill="1" applyBorder="1" applyAlignment="1">
      <alignment horizontal="left" vertical="center"/>
    </xf>
    <xf numFmtId="9" fontId="5" fillId="38" borderId="18" xfId="0" applyNumberFormat="1" applyFont="1" applyFill="1" applyBorder="1" applyAlignment="1">
      <alignment horizontal="left" vertical="center"/>
    </xf>
    <xf numFmtId="165" fontId="3" fillId="39" borderId="24" xfId="0" applyNumberFormat="1" applyFont="1" applyFill="1" applyBorder="1"/>
    <xf numFmtId="3" fontId="5" fillId="38" borderId="22" xfId="0" applyNumberFormat="1" applyFont="1" applyFill="1" applyBorder="1" applyAlignment="1">
      <alignment horizontal="left" vertical="center"/>
    </xf>
    <xf numFmtId="3" fontId="5" fillId="38" borderId="14" xfId="0" applyNumberFormat="1" applyFont="1" applyFill="1" applyBorder="1" applyAlignment="1">
      <alignment horizontal="left" vertical="center"/>
    </xf>
    <xf numFmtId="165" fontId="3" fillId="39" borderId="0" xfId="0" applyNumberFormat="1" applyFont="1" applyFill="1"/>
    <xf numFmtId="165" fontId="3" fillId="39" borderId="37" xfId="0" applyNumberFormat="1" applyFont="1" applyFill="1" applyBorder="1"/>
    <xf numFmtId="3" fontId="5" fillId="38" borderId="3" xfId="0" applyNumberFormat="1" applyFont="1" applyFill="1" applyBorder="1" applyAlignment="1">
      <alignment horizontal="left" vertical="center"/>
    </xf>
    <xf numFmtId="9" fontId="5" fillId="38" borderId="21" xfId="0" applyNumberFormat="1" applyFont="1" applyFill="1" applyBorder="1" applyAlignment="1">
      <alignment horizontal="left" vertical="center"/>
    </xf>
    <xf numFmtId="0" fontId="38" fillId="0" borderId="0" xfId="0" applyFont="1"/>
    <xf numFmtId="0" fontId="39" fillId="0" borderId="0" xfId="0" applyFont="1"/>
    <xf numFmtId="0" fontId="5" fillId="38" borderId="13" xfId="0" applyFont="1" applyFill="1" applyBorder="1" applyAlignment="1">
      <alignment horizontal="left" vertical="top" wrapText="1"/>
    </xf>
    <xf numFmtId="164" fontId="7" fillId="38" borderId="17" xfId="0" applyNumberFormat="1" applyFont="1" applyFill="1" applyBorder="1" applyAlignment="1">
      <alignment horizontal="left" vertical="center"/>
    </xf>
    <xf numFmtId="164" fontId="7" fillId="38" borderId="52" xfId="0" applyNumberFormat="1" applyFont="1" applyFill="1" applyBorder="1" applyAlignment="1">
      <alignment horizontal="left" vertical="center"/>
    </xf>
    <xf numFmtId="0" fontId="42" fillId="0" borderId="0" xfId="0" applyFont="1" applyAlignment="1">
      <alignment horizontal="center" vertical="center"/>
    </xf>
    <xf numFmtId="0" fontId="33" fillId="0" borderId="0" xfId="0" applyFont="1" applyAlignment="1">
      <alignment horizontal="left" vertical="center" indent="1"/>
    </xf>
    <xf numFmtId="0" fontId="33" fillId="0" borderId="0" xfId="0" applyFont="1" applyAlignment="1">
      <alignment horizontal="left" vertical="center" wrapText="1" indent="1"/>
    </xf>
    <xf numFmtId="0" fontId="32" fillId="0" borderId="0" xfId="0" applyFont="1" applyAlignment="1">
      <alignment horizontal="left" vertical="center" wrapText="1" indent="1"/>
    </xf>
    <xf numFmtId="0" fontId="42" fillId="0" borderId="58" xfId="0" applyFont="1" applyBorder="1" applyAlignment="1">
      <alignment horizontal="center" vertical="center"/>
    </xf>
    <xf numFmtId="0" fontId="31" fillId="0" borderId="59" xfId="0" applyFont="1" applyBorder="1" applyAlignment="1">
      <alignment horizontal="left" vertical="center" wrapText="1" indent="1"/>
    </xf>
    <xf numFmtId="0" fontId="31" fillId="2" borderId="59" xfId="0" applyFont="1" applyFill="1" applyBorder="1" applyAlignment="1">
      <alignment horizontal="left" vertical="center" wrapText="1" indent="1"/>
    </xf>
    <xf numFmtId="0" fontId="42" fillId="0" borderId="60" xfId="0" applyFont="1" applyBorder="1" applyAlignment="1">
      <alignment horizontal="center" vertical="center"/>
    </xf>
    <xf numFmtId="0" fontId="35" fillId="0" borderId="61" xfId="47" applyFont="1" applyBorder="1" applyAlignment="1">
      <alignment horizontal="left" vertical="center" wrapText="1" indent="1"/>
    </xf>
    <xf numFmtId="0" fontId="42" fillId="0" borderId="60" xfId="0" applyFont="1" applyBorder="1" applyAlignment="1">
      <alignment horizontal="left" vertical="center"/>
    </xf>
    <xf numFmtId="0" fontId="33" fillId="0" borderId="61" xfId="0" applyFont="1" applyBorder="1" applyAlignment="1">
      <alignment horizontal="left" vertical="center" wrapText="1" indent="1"/>
    </xf>
    <xf numFmtId="0" fontId="31" fillId="0" borderId="61" xfId="0" applyFont="1" applyBorder="1" applyAlignment="1">
      <alignment horizontal="left" vertical="center" wrapText="1" indent="1"/>
    </xf>
    <xf numFmtId="0" fontId="31" fillId="2" borderId="61" xfId="0" applyFont="1" applyFill="1" applyBorder="1" applyAlignment="1">
      <alignment horizontal="left" vertical="center" wrapText="1" indent="1"/>
    </xf>
    <xf numFmtId="0" fontId="43" fillId="37" borderId="56" xfId="0" applyFont="1" applyFill="1" applyBorder="1" applyAlignment="1">
      <alignment horizontal="center" vertical="center"/>
    </xf>
    <xf numFmtId="0" fontId="43" fillId="37" borderId="58" xfId="0" applyFont="1" applyFill="1" applyBorder="1" applyAlignment="1">
      <alignment horizontal="center" vertical="center"/>
    </xf>
    <xf numFmtId="0" fontId="37" fillId="34" borderId="59" xfId="0" applyFont="1" applyFill="1" applyBorder="1" applyAlignment="1">
      <alignment horizontal="left" vertical="justify" wrapText="1" indent="1"/>
    </xf>
    <xf numFmtId="0" fontId="37" fillId="34" borderId="59" xfId="0" applyFont="1" applyFill="1" applyBorder="1" applyAlignment="1">
      <alignment horizontal="left" vertical="center" wrapText="1" indent="1"/>
    </xf>
    <xf numFmtId="0" fontId="42" fillId="37" borderId="56" xfId="0" applyFont="1" applyFill="1" applyBorder="1" applyAlignment="1">
      <alignment horizontal="center" vertical="center"/>
    </xf>
    <xf numFmtId="0" fontId="42" fillId="37" borderId="58" xfId="0" applyFont="1" applyFill="1" applyBorder="1" applyAlignment="1">
      <alignment horizontal="center" vertical="center"/>
    </xf>
    <xf numFmtId="0" fontId="43" fillId="38" borderId="62" xfId="0" applyFont="1" applyFill="1" applyBorder="1" applyAlignment="1">
      <alignment horizontal="left" vertical="center" wrapText="1" indent="1"/>
    </xf>
    <xf numFmtId="0" fontId="42" fillId="38" borderId="63" xfId="0" applyFont="1" applyFill="1" applyBorder="1" applyAlignment="1">
      <alignment horizontal="center" vertical="center"/>
    </xf>
    <xf numFmtId="0" fontId="37" fillId="38" borderId="62" xfId="0" applyFont="1" applyFill="1" applyBorder="1" applyAlignment="1">
      <alignment horizontal="left" vertical="center" wrapText="1" indent="1"/>
    </xf>
    <xf numFmtId="0" fontId="4" fillId="35" borderId="66" xfId="0" applyFont="1" applyFill="1" applyBorder="1" applyAlignment="1">
      <alignment horizontal="left" vertical="center" wrapText="1"/>
    </xf>
    <xf numFmtId="0" fontId="4" fillId="35" borderId="67" xfId="0" applyFont="1" applyFill="1" applyBorder="1" applyAlignment="1">
      <alignment horizontal="left" vertical="center" wrapText="1"/>
    </xf>
    <xf numFmtId="0" fontId="4" fillId="35" borderId="0" xfId="0" applyFont="1" applyFill="1" applyAlignment="1">
      <alignment horizontal="left" vertical="center" wrapText="1"/>
    </xf>
    <xf numFmtId="0" fontId="4" fillId="35" borderId="18" xfId="0" applyFont="1" applyFill="1" applyBorder="1" applyAlignment="1">
      <alignment horizontal="left" vertical="center" wrapText="1"/>
    </xf>
    <xf numFmtId="0" fontId="40" fillId="2" borderId="0" xfId="0" applyFont="1" applyFill="1" applyAlignment="1">
      <alignment horizontal="center" vertical="center"/>
    </xf>
    <xf numFmtId="0" fontId="41" fillId="2" borderId="0" xfId="0" applyFont="1" applyFill="1" applyAlignment="1">
      <alignment horizontal="center" vertical="center"/>
    </xf>
    <xf numFmtId="0" fontId="42" fillId="2" borderId="0" xfId="0" applyFont="1" applyFill="1" applyAlignment="1">
      <alignment horizontal="center" vertical="center"/>
    </xf>
    <xf numFmtId="9" fontId="2" fillId="2" borderId="68" xfId="1" applyNumberFormat="1" applyFont="1" applyFill="1" applyBorder="1" applyAlignment="1">
      <alignment horizontal="left" vertical="center"/>
    </xf>
    <xf numFmtId="0" fontId="33" fillId="2" borderId="69" xfId="0" applyFont="1" applyFill="1" applyBorder="1"/>
    <xf numFmtId="0" fontId="7" fillId="38" borderId="17" xfId="0" applyFont="1" applyFill="1" applyBorder="1" applyAlignment="1">
      <alignment horizontal="left" vertical="center"/>
    </xf>
    <xf numFmtId="0" fontId="33" fillId="0" borderId="17" xfId="0" applyFont="1" applyBorder="1"/>
    <xf numFmtId="0" fontId="7" fillId="38" borderId="52" xfId="0" applyFont="1" applyFill="1" applyBorder="1" applyAlignment="1">
      <alignment horizontal="left" vertical="center"/>
    </xf>
    <xf numFmtId="0" fontId="45" fillId="2" borderId="0" xfId="0" applyFont="1" applyFill="1"/>
    <xf numFmtId="0" fontId="33" fillId="2" borderId="0" xfId="0" applyFont="1" applyFill="1" applyAlignment="1">
      <alignment horizontal="right"/>
    </xf>
    <xf numFmtId="164" fontId="33" fillId="2" borderId="0" xfId="0" applyNumberFormat="1" applyFont="1" applyFill="1"/>
    <xf numFmtId="1" fontId="6" fillId="2" borderId="71" xfId="0" applyNumberFormat="1" applyFont="1" applyFill="1" applyBorder="1" applyAlignment="1">
      <alignment horizontal="left" vertical="center"/>
    </xf>
    <xf numFmtId="3" fontId="5" fillId="38" borderId="54" xfId="0" applyNumberFormat="1" applyFont="1" applyFill="1" applyBorder="1" applyAlignment="1">
      <alignment horizontal="left" vertical="center"/>
    </xf>
    <xf numFmtId="9" fontId="5" fillId="38" borderId="37" xfId="0" applyNumberFormat="1" applyFont="1" applyFill="1" applyBorder="1" applyAlignment="1">
      <alignment horizontal="left" vertical="center"/>
    </xf>
    <xf numFmtId="165" fontId="3" fillId="39" borderId="72" xfId="0" applyNumberFormat="1" applyFont="1" applyFill="1" applyBorder="1"/>
    <xf numFmtId="3" fontId="5" fillId="38" borderId="27" xfId="0" applyNumberFormat="1" applyFont="1" applyFill="1" applyBorder="1" applyAlignment="1">
      <alignment horizontal="left" vertical="center"/>
    </xf>
    <xf numFmtId="9" fontId="5" fillId="38" borderId="53" xfId="0" applyNumberFormat="1" applyFont="1" applyFill="1" applyBorder="1" applyAlignment="1">
      <alignment horizontal="left" vertical="center"/>
    </xf>
    <xf numFmtId="0" fontId="33" fillId="0" borderId="4" xfId="0" applyFont="1" applyBorder="1"/>
    <xf numFmtId="9" fontId="46" fillId="0" borderId="2" xfId="1" applyNumberFormat="1" applyFont="1" applyBorder="1" applyAlignment="1">
      <alignment horizontal="center" vertical="center"/>
    </xf>
    <xf numFmtId="9" fontId="2" fillId="2" borderId="4" xfId="1" applyNumberFormat="1" applyFont="1" applyFill="1" applyBorder="1" applyAlignment="1">
      <alignment horizontal="left" vertical="center"/>
    </xf>
    <xf numFmtId="1" fontId="6" fillId="2" borderId="23" xfId="0" applyNumberFormat="1" applyFont="1" applyFill="1" applyBorder="1" applyAlignment="1">
      <alignment horizontal="left" vertical="center"/>
    </xf>
    <xf numFmtId="1" fontId="6" fillId="2" borderId="12" xfId="0" applyNumberFormat="1" applyFont="1" applyFill="1" applyBorder="1" applyAlignment="1">
      <alignment horizontal="left" vertical="center"/>
    </xf>
    <xf numFmtId="1" fontId="6" fillId="2" borderId="20" xfId="0" applyNumberFormat="1" applyFont="1" applyFill="1" applyBorder="1" applyAlignment="1">
      <alignment horizontal="left" vertical="center"/>
    </xf>
    <xf numFmtId="165" fontId="3" fillId="40" borderId="24" xfId="0" applyNumberFormat="1" applyFont="1" applyFill="1" applyBorder="1"/>
    <xf numFmtId="1" fontId="26" fillId="0" borderId="49" xfId="0" applyNumberFormat="1" applyFont="1" applyBorder="1" applyAlignment="1">
      <alignment horizontal="left"/>
    </xf>
    <xf numFmtId="1" fontId="26" fillId="0" borderId="9" xfId="0" applyNumberFormat="1" applyFont="1" applyBorder="1" applyAlignment="1">
      <alignment horizontal="left"/>
    </xf>
    <xf numFmtId="0" fontId="47" fillId="0" borderId="0" xfId="0" applyFont="1" applyAlignment="1">
      <alignment wrapText="1"/>
    </xf>
    <xf numFmtId="0" fontId="47" fillId="0" borderId="0" xfId="0" applyFont="1" applyAlignment="1">
      <alignment vertical="top" wrapText="1"/>
    </xf>
    <xf numFmtId="0" fontId="6" fillId="2" borderId="73" xfId="0" applyFont="1" applyFill="1" applyBorder="1" applyAlignment="1">
      <alignment horizontal="left" vertical="center"/>
    </xf>
    <xf numFmtId="0" fontId="6" fillId="2" borderId="15" xfId="0" applyFont="1" applyFill="1" applyBorder="1" applyAlignment="1">
      <alignment horizontal="left" vertical="center"/>
    </xf>
    <xf numFmtId="0" fontId="6" fillId="2" borderId="15" xfId="0" applyFont="1" applyFill="1" applyBorder="1"/>
    <xf numFmtId="0" fontId="6" fillId="2" borderId="21" xfId="0" applyFont="1" applyFill="1" applyBorder="1" applyAlignment="1">
      <alignment horizontal="left" vertical="center"/>
    </xf>
    <xf numFmtId="0" fontId="6" fillId="2" borderId="64" xfId="0" applyFont="1" applyFill="1" applyBorder="1" applyAlignment="1">
      <alignment horizontal="left" vertical="center"/>
    </xf>
    <xf numFmtId="0" fontId="6" fillId="2" borderId="39" xfId="0" applyFont="1" applyFill="1" applyBorder="1" applyAlignment="1">
      <alignment horizontal="left" vertical="center"/>
    </xf>
    <xf numFmtId="0" fontId="6" fillId="2" borderId="39" xfId="0" applyFont="1" applyFill="1" applyBorder="1"/>
    <xf numFmtId="0" fontId="6" fillId="2" borderId="65" xfId="0" applyFont="1" applyFill="1" applyBorder="1" applyAlignment="1">
      <alignment horizontal="left" vertical="center"/>
    </xf>
    <xf numFmtId="0" fontId="6" fillId="2" borderId="64" xfId="0" applyFont="1" applyFill="1" applyBorder="1" applyAlignment="1">
      <alignment horizontal="left" vertical="center" wrapText="1"/>
    </xf>
    <xf numFmtId="0" fontId="6" fillId="2" borderId="64" xfId="0" applyFont="1" applyFill="1" applyBorder="1"/>
    <xf numFmtId="0" fontId="2" fillId="0" borderId="0" xfId="0" applyFont="1" applyAlignment="1">
      <alignment vertical="center" wrapText="1"/>
    </xf>
    <xf numFmtId="0" fontId="26" fillId="0" borderId="49" xfId="0" applyFont="1" applyBorder="1" applyAlignment="1">
      <alignment horizontal="left"/>
    </xf>
    <xf numFmtId="1" fontId="26" fillId="0" borderId="0" xfId="0" applyNumberFormat="1" applyFont="1" applyAlignment="1">
      <alignment horizontal="left"/>
    </xf>
    <xf numFmtId="167" fontId="2" fillId="38" borderId="38" xfId="2" applyNumberFormat="1" applyFont="1" applyFill="1" applyBorder="1" applyAlignment="1">
      <alignment horizontal="right"/>
    </xf>
    <xf numFmtId="0" fontId="2" fillId="38" borderId="0" xfId="0" applyFont="1" applyFill="1"/>
    <xf numFmtId="0" fontId="2" fillId="38" borderId="37" xfId="0" applyFont="1" applyFill="1" applyBorder="1"/>
    <xf numFmtId="43" fontId="2" fillId="38" borderId="0" xfId="0" applyNumberFormat="1" applyFont="1" applyFill="1"/>
    <xf numFmtId="3" fontId="2" fillId="38" borderId="0" xfId="0" applyNumberFormat="1" applyFont="1" applyFill="1"/>
    <xf numFmtId="9" fontId="2" fillId="0" borderId="2" xfId="1" applyNumberFormat="1" applyFont="1" applyBorder="1" applyAlignment="1">
      <alignment horizontal="center" vertical="center"/>
    </xf>
    <xf numFmtId="0" fontId="2" fillId="0" borderId="4" xfId="0" applyFont="1" applyBorder="1"/>
    <xf numFmtId="0" fontId="2" fillId="0" borderId="23" xfId="0" applyFont="1" applyBorder="1"/>
    <xf numFmtId="0" fontId="2" fillId="0" borderId="0" xfId="0" applyFont="1"/>
    <xf numFmtId="0" fontId="2" fillId="41" borderId="0" xfId="0" applyFont="1" applyFill="1"/>
    <xf numFmtId="43" fontId="2" fillId="0" borderId="0" xfId="0" applyNumberFormat="1" applyFont="1"/>
    <xf numFmtId="3" fontId="2" fillId="0" borderId="0" xfId="0" applyNumberFormat="1" applyFont="1"/>
    <xf numFmtId="9" fontId="6" fillId="2" borderId="2" xfId="0" applyNumberFormat="1" applyFont="1" applyFill="1" applyBorder="1" applyAlignment="1">
      <alignment horizontal="left" vertical="center"/>
    </xf>
    <xf numFmtId="9" fontId="6" fillId="2" borderId="31" xfId="0" applyNumberFormat="1" applyFont="1" applyFill="1" applyBorder="1" applyAlignment="1">
      <alignment horizontal="left" vertical="center"/>
    </xf>
    <xf numFmtId="9" fontId="6" fillId="2" borderId="4" xfId="0" applyNumberFormat="1" applyFont="1" applyFill="1" applyBorder="1" applyAlignment="1">
      <alignment horizontal="left" vertical="center"/>
    </xf>
    <xf numFmtId="9" fontId="6" fillId="2" borderId="29" xfId="0" applyNumberFormat="1" applyFont="1" applyFill="1" applyBorder="1" applyAlignment="1">
      <alignment horizontal="left" vertical="center"/>
    </xf>
    <xf numFmtId="9" fontId="50" fillId="2" borderId="2" xfId="0" applyNumberFormat="1" applyFont="1" applyFill="1" applyBorder="1" applyAlignment="1">
      <alignment horizontal="left" vertical="center"/>
    </xf>
    <xf numFmtId="9" fontId="6" fillId="2" borderId="32" xfId="0" applyNumberFormat="1" applyFont="1" applyFill="1" applyBorder="1" applyAlignment="1">
      <alignment horizontal="left" vertical="center"/>
    </xf>
    <xf numFmtId="1" fontId="6" fillId="2" borderId="0" xfId="0" applyNumberFormat="1" applyFont="1" applyFill="1" applyAlignment="1">
      <alignment horizontal="left" vertical="center"/>
    </xf>
    <xf numFmtId="0" fontId="29" fillId="35" borderId="0" xfId="0" applyFont="1" applyFill="1" applyAlignment="1">
      <alignment horizontal="center" vertical="center" wrapText="1"/>
    </xf>
    <xf numFmtId="0" fontId="29" fillId="37" borderId="0" xfId="0" applyFont="1" applyFill="1" applyAlignment="1">
      <alignment horizontal="center" vertical="center" wrapText="1"/>
    </xf>
    <xf numFmtId="0" fontId="33" fillId="37" borderId="0" xfId="0" applyFont="1" applyFill="1" applyAlignment="1">
      <alignment horizontal="center" vertical="center" wrapText="1"/>
    </xf>
    <xf numFmtId="0" fontId="33" fillId="37" borderId="0" xfId="0" applyFont="1" applyFill="1"/>
    <xf numFmtId="0" fontId="41" fillId="34" borderId="55" xfId="0" applyFont="1" applyFill="1" applyBorder="1" applyAlignment="1">
      <alignment horizontal="center" vertical="center"/>
    </xf>
    <xf numFmtId="0" fontId="40" fillId="42" borderId="55" xfId="0" applyFont="1" applyFill="1" applyBorder="1" applyAlignment="1">
      <alignment horizontal="center" vertical="center"/>
    </xf>
    <xf numFmtId="0" fontId="41" fillId="34" borderId="50" xfId="0" applyFont="1" applyFill="1" applyBorder="1" applyAlignment="1">
      <alignment horizontal="center" vertical="center"/>
    </xf>
    <xf numFmtId="0" fontId="42" fillId="34" borderId="70" xfId="0" applyFont="1" applyFill="1" applyBorder="1" applyAlignment="1">
      <alignment horizontal="center" vertical="center"/>
    </xf>
    <xf numFmtId="0" fontId="0" fillId="0" borderId="51" xfId="0" applyBorder="1"/>
    <xf numFmtId="0" fontId="40" fillId="36" borderId="50" xfId="0" applyFont="1" applyFill="1" applyBorder="1" applyAlignment="1">
      <alignment horizontal="center" vertical="center"/>
    </xf>
    <xf numFmtId="0" fontId="40" fillId="36" borderId="51" xfId="0" applyFont="1" applyFill="1" applyBorder="1" applyAlignment="1">
      <alignment horizontal="center" vertical="center"/>
    </xf>
    <xf numFmtId="0" fontId="4" fillId="35" borderId="64" xfId="0" applyFont="1" applyFill="1" applyBorder="1" applyAlignment="1">
      <alignment horizontal="center" vertical="center" wrapText="1"/>
    </xf>
    <xf numFmtId="0" fontId="0" fillId="0" borderId="39" xfId="0" applyBorder="1" applyAlignment="1">
      <alignment horizontal="center" vertical="center" wrapText="1"/>
    </xf>
    <xf numFmtId="0" fontId="0" fillId="0" borderId="65" xfId="0" applyBorder="1" applyAlignment="1">
      <alignment horizontal="center" vertical="center" wrapText="1"/>
    </xf>
    <xf numFmtId="0" fontId="4" fillId="35" borderId="67" xfId="0" applyFont="1" applyFill="1" applyBorder="1" applyAlignment="1">
      <alignment horizontal="center" vertical="center" wrapText="1"/>
    </xf>
    <xf numFmtId="0" fontId="0" fillId="0" borderId="0" xfId="0" applyAlignment="1">
      <alignment horizontal="center" vertical="center" wrapText="1"/>
    </xf>
    <xf numFmtId="0" fontId="0" fillId="0" borderId="18" xfId="0" applyBorder="1" applyAlignment="1">
      <alignment horizontal="center" vertical="center" wrapText="1"/>
    </xf>
    <xf numFmtId="0" fontId="4" fillId="35" borderId="39" xfId="0" applyFont="1" applyFill="1" applyBorder="1" applyAlignment="1">
      <alignment horizontal="center" vertical="center" wrapText="1"/>
    </xf>
    <xf numFmtId="0" fontId="29" fillId="35" borderId="57" xfId="0" applyFont="1" applyFill="1" applyBorder="1" applyAlignment="1">
      <alignment horizontal="left" vertical="center" wrapText="1" indent="1"/>
    </xf>
    <xf numFmtId="0" fontId="33" fillId="0" borderId="59" xfId="0" applyFont="1" applyBorder="1" applyAlignment="1">
      <alignment horizontal="left" vertical="center" wrapText="1" indent="1"/>
    </xf>
    <xf numFmtId="0" fontId="29" fillId="37" borderId="57" xfId="0" applyFont="1" applyFill="1" applyBorder="1" applyAlignment="1">
      <alignment horizontal="left" vertical="center" wrapText="1" indent="1"/>
    </xf>
    <xf numFmtId="0" fontId="33" fillId="37" borderId="59" xfId="0" applyFont="1" applyFill="1" applyBorder="1" applyAlignment="1">
      <alignment horizontal="left" vertical="center" wrapText="1" indent="1"/>
    </xf>
    <xf numFmtId="0" fontId="29" fillId="35" borderId="56" xfId="0" applyFont="1" applyFill="1" applyBorder="1" applyAlignment="1">
      <alignment horizontal="left" vertical="center" wrapText="1" indent="3"/>
    </xf>
    <xf numFmtId="0" fontId="29" fillId="35" borderId="57" xfId="0" applyFont="1" applyFill="1" applyBorder="1" applyAlignment="1">
      <alignment horizontal="left" vertical="center" wrapText="1" indent="3"/>
    </xf>
    <xf numFmtId="0" fontId="29" fillId="35" borderId="58" xfId="0" applyFont="1" applyFill="1" applyBorder="1" applyAlignment="1">
      <alignment horizontal="left" vertical="center" wrapText="1" indent="3"/>
    </xf>
    <xf numFmtId="0" fontId="29" fillId="35" borderId="59" xfId="0" applyFont="1" applyFill="1" applyBorder="1" applyAlignment="1">
      <alignment horizontal="left" vertical="center" wrapText="1" indent="3"/>
    </xf>
  </cellXfs>
  <cellStyles count="48">
    <cellStyle name="20% - Accent1" xfId="23" builtinId="30" customBuiltin="1"/>
    <cellStyle name="20% - Accent2" xfId="27" builtinId="34" customBuiltin="1"/>
    <cellStyle name="20% - Accent3" xfId="31" builtinId="38" customBuiltin="1"/>
    <cellStyle name="20% - Accent4" xfId="35" builtinId="42" customBuiltin="1"/>
    <cellStyle name="20% - Accent5" xfId="39" builtinId="46" customBuiltin="1"/>
    <cellStyle name="20% - Accent6" xfId="43" builtinId="50" customBuiltin="1"/>
    <cellStyle name="40% - Accent1" xfId="24" builtinId="31" customBuiltin="1"/>
    <cellStyle name="40% - Accent2" xfId="28" builtinId="35" customBuiltin="1"/>
    <cellStyle name="40% - Accent3" xfId="32" builtinId="39" customBuiltin="1"/>
    <cellStyle name="40% - Accent4" xfId="36" builtinId="43" customBuiltin="1"/>
    <cellStyle name="40% - Accent5" xfId="40" builtinId="47" customBuiltin="1"/>
    <cellStyle name="40% - Accent6" xfId="44" builtinId="51" customBuiltin="1"/>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1" builtinId="27" customBuiltin="1"/>
    <cellStyle name="Calculation" xfId="15" builtinId="22" customBuiltin="1"/>
    <cellStyle name="Check Cell" xfId="17" builtinId="23" customBuiltin="1"/>
    <cellStyle name="Comma" xfId="2" builtinId="3"/>
    <cellStyle name="Explanatory Text" xfId="20"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Hyperlink" xfId="47" builtinId="8"/>
    <cellStyle name="Input" xfId="13" builtinId="20" customBuiltin="1"/>
    <cellStyle name="Linked Cell" xfId="16" builtinId="24" customBuiltin="1"/>
    <cellStyle name="Neutral" xfId="12" builtinId="28" customBuiltin="1"/>
    <cellStyle name="Normal" xfId="0" builtinId="0"/>
    <cellStyle name="Normal 2" xfId="1" xr:uid="{FA2BBDB6-84F5-4D45-8569-42571A78FCF8}"/>
    <cellStyle name="Normal 2 11" xfId="3" xr:uid="{3BB61E34-AACA-44BA-BE08-15A3D870ABB2}"/>
    <cellStyle name="Normal 3" xfId="46" xr:uid="{8A19DC9E-0B8E-40CD-B41E-96FE8B9142CC}"/>
    <cellStyle name="Normal 7" xfId="4" xr:uid="{81CB8E89-9ABD-4CC0-A170-4D85FBE82596}"/>
    <cellStyle name="Note" xfId="19" builtinId="10" customBuiltin="1"/>
    <cellStyle name="Output" xfId="14" builtinId="21" customBuiltin="1"/>
    <cellStyle name="Title" xfId="5" builtinId="15" customBuiltin="1"/>
    <cellStyle name="Total" xfId="21" builtinId="25" customBuiltin="1"/>
    <cellStyle name="Warning Text" xfId="18" builtinId="11" customBuiltin="1"/>
  </cellStyles>
  <dxfs count="48">
    <dxf>
      <font>
        <b/>
        <i val="0"/>
        <color theme="5"/>
      </font>
      <fill>
        <patternFill>
          <bgColor theme="5" tint="0.79998168889431442"/>
        </patternFill>
      </fill>
    </dxf>
    <dxf>
      <font>
        <b/>
        <i val="0"/>
        <color theme="5"/>
      </font>
      <fill>
        <patternFill>
          <bgColor theme="5" tint="0.79998168889431442"/>
        </patternFill>
      </fill>
    </dxf>
    <dxf>
      <font>
        <b/>
        <i val="0"/>
        <color theme="5"/>
      </font>
      <fill>
        <patternFill>
          <bgColor theme="5" tint="0.79998168889431442"/>
        </patternFill>
      </fill>
    </dxf>
    <dxf>
      <font>
        <b/>
        <i val="0"/>
        <color theme="5"/>
      </font>
      <fill>
        <patternFill patternType="solid">
          <bgColor theme="5" tint="0.79998168889431442"/>
        </patternFill>
      </fill>
    </dxf>
    <dxf>
      <font>
        <b/>
        <i val="0"/>
        <color theme="5"/>
      </font>
      <fill>
        <patternFill patternType="solid">
          <bgColor theme="5" tint="0.79998168889431442"/>
        </patternFill>
      </fill>
    </dxf>
    <dxf>
      <font>
        <b/>
        <i val="0"/>
        <color theme="5"/>
      </font>
      <fill>
        <patternFill>
          <bgColor theme="5" tint="0.79998168889431442"/>
        </patternFill>
      </fill>
    </dxf>
    <dxf>
      <font>
        <b/>
        <i val="0"/>
        <color theme="5"/>
      </font>
      <fill>
        <patternFill>
          <bgColor theme="5" tint="0.79998168889431442"/>
        </patternFill>
      </fill>
    </dxf>
    <dxf>
      <font>
        <b/>
        <i val="0"/>
        <color theme="5"/>
      </font>
      <fill>
        <patternFill>
          <bgColor theme="5" tint="0.79998168889431442"/>
        </patternFill>
      </fill>
    </dxf>
    <dxf>
      <font>
        <b/>
        <i val="0"/>
        <color theme="4"/>
      </font>
      <fill>
        <patternFill patternType="solid">
          <bgColor theme="4" tint="0.79998168889431442"/>
        </patternFill>
      </fill>
    </dxf>
    <dxf>
      <font>
        <b/>
        <i val="0"/>
        <color theme="4"/>
      </font>
      <fill>
        <patternFill patternType="solid">
          <bgColor theme="4" tint="0.79998168889431442"/>
        </patternFill>
      </fill>
    </dxf>
    <dxf>
      <font>
        <b/>
        <i val="0"/>
        <color theme="4"/>
      </font>
      <fill>
        <patternFill>
          <bgColor theme="4" tint="0.79998168889431442"/>
        </patternFill>
      </fill>
    </dxf>
    <dxf>
      <font>
        <b/>
        <i val="0"/>
        <color theme="5"/>
      </font>
      <fill>
        <patternFill>
          <bgColor theme="5" tint="0.79998168889431442"/>
        </patternFill>
      </fill>
    </dxf>
    <dxf>
      <font>
        <b/>
        <i val="0"/>
        <color theme="5"/>
      </font>
      <fill>
        <patternFill>
          <bgColor theme="5" tint="0.79998168889431442"/>
        </patternFill>
      </fill>
    </dxf>
    <dxf>
      <font>
        <b/>
        <i val="0"/>
        <color theme="4"/>
      </font>
      <fill>
        <patternFill>
          <bgColor theme="4" tint="0.79998168889431442"/>
        </patternFill>
      </fill>
    </dxf>
    <dxf>
      <font>
        <b/>
        <i val="0"/>
        <color theme="4"/>
      </font>
      <fill>
        <patternFill>
          <bgColor theme="4" tint="0.79998168889431442"/>
        </patternFill>
      </fill>
    </dxf>
    <dxf>
      <font>
        <b/>
        <i val="0"/>
        <color theme="5"/>
      </font>
      <fill>
        <patternFill>
          <bgColor theme="5" tint="0.79998168889431442"/>
        </patternFill>
      </fill>
    </dxf>
    <dxf>
      <font>
        <b/>
        <i val="0"/>
        <color theme="5"/>
      </font>
      <fill>
        <patternFill>
          <bgColor theme="5" tint="0.79998168889431442"/>
        </patternFill>
      </fill>
    </dxf>
    <dxf>
      <font>
        <b/>
        <i val="0"/>
        <color theme="4"/>
      </font>
      <fill>
        <patternFill>
          <bgColor theme="4" tint="0.79998168889431442"/>
        </patternFill>
      </fill>
    </dxf>
    <dxf>
      <font>
        <b/>
        <i val="0"/>
        <color theme="5"/>
      </font>
      <fill>
        <patternFill>
          <bgColor theme="5" tint="0.79998168889431442"/>
        </patternFill>
      </fill>
    </dxf>
    <dxf>
      <font>
        <b/>
        <i val="0"/>
        <color theme="4"/>
      </font>
      <fill>
        <patternFill>
          <bgColor theme="4" tint="0.79998168889431442"/>
        </patternFill>
      </fill>
    </dxf>
    <dxf>
      <font>
        <b/>
        <i val="0"/>
        <color theme="4"/>
      </font>
      <fill>
        <patternFill>
          <bgColor theme="4" tint="0.79998168889431442"/>
        </patternFill>
      </fill>
    </dxf>
    <dxf>
      <font>
        <b/>
        <i val="0"/>
        <color theme="5"/>
      </font>
      <fill>
        <patternFill>
          <bgColor theme="5" tint="0.79998168889431442"/>
        </patternFill>
      </fill>
    </dxf>
    <dxf>
      <font>
        <b/>
        <i val="0"/>
        <color theme="4"/>
      </font>
      <fill>
        <patternFill>
          <bgColor theme="4" tint="0.79998168889431442"/>
        </patternFill>
      </fill>
    </dxf>
    <dxf>
      <font>
        <b/>
        <i val="0"/>
        <color theme="5"/>
      </font>
      <fill>
        <patternFill>
          <bgColor theme="5" tint="0.79998168889431442"/>
        </patternFill>
      </fill>
    </dxf>
    <dxf>
      <font>
        <b/>
        <i val="0"/>
        <color theme="5"/>
      </font>
      <fill>
        <patternFill>
          <bgColor theme="5" tint="0.79998168889431442"/>
        </patternFill>
      </fill>
    </dxf>
    <dxf>
      <font>
        <b/>
        <i val="0"/>
        <color theme="5"/>
      </font>
      <fill>
        <patternFill>
          <bgColor theme="5" tint="0.79998168889431442"/>
        </patternFill>
      </fill>
    </dxf>
    <dxf>
      <font>
        <b/>
        <i val="0"/>
        <color theme="5"/>
      </font>
      <fill>
        <patternFill>
          <bgColor rgb="FFD5DCFF"/>
        </patternFill>
      </fill>
    </dxf>
    <dxf>
      <font>
        <b/>
        <i val="0"/>
        <color theme="5"/>
      </font>
      <fill>
        <patternFill patternType="solid">
          <bgColor theme="5" tint="0.79998168889431442"/>
        </patternFill>
      </fill>
    </dxf>
    <dxf>
      <font>
        <b/>
        <i val="0"/>
        <color theme="5"/>
      </font>
      <fill>
        <patternFill patternType="solid">
          <bgColor theme="5" tint="0.79998168889431442"/>
        </patternFill>
      </fill>
    </dxf>
    <dxf>
      <font>
        <b/>
        <i val="0"/>
        <color theme="5"/>
      </font>
      <fill>
        <patternFill>
          <bgColor theme="5" tint="0.79998168889431442"/>
        </patternFill>
      </fill>
    </dxf>
    <dxf>
      <font>
        <b/>
        <i val="0"/>
        <color theme="5"/>
      </font>
      <fill>
        <patternFill>
          <bgColor theme="5" tint="0.79998168889431442"/>
        </patternFill>
      </fill>
    </dxf>
    <dxf>
      <font>
        <b/>
        <i val="0"/>
        <color theme="5"/>
      </font>
      <fill>
        <patternFill>
          <bgColor theme="5" tint="0.79998168889431442"/>
        </patternFill>
      </fill>
    </dxf>
    <dxf>
      <font>
        <b/>
        <i val="0"/>
        <color theme="4"/>
      </font>
      <fill>
        <patternFill patternType="solid">
          <bgColor theme="4" tint="0.79998168889431442"/>
        </patternFill>
      </fill>
    </dxf>
    <dxf>
      <font>
        <b/>
        <i val="0"/>
        <color theme="4"/>
      </font>
      <fill>
        <patternFill patternType="solid">
          <bgColor theme="4" tint="0.79998168889431442"/>
        </patternFill>
      </fill>
    </dxf>
    <dxf>
      <font>
        <b/>
        <i val="0"/>
        <color theme="4"/>
      </font>
      <fill>
        <patternFill>
          <bgColor theme="4" tint="0.79998168889431442"/>
        </patternFill>
      </fill>
    </dxf>
    <dxf>
      <font>
        <b/>
        <i val="0"/>
        <color theme="5"/>
      </font>
      <fill>
        <patternFill>
          <bgColor theme="5" tint="0.79998168889431442"/>
        </patternFill>
      </fill>
    </dxf>
    <dxf>
      <font>
        <b/>
        <i val="0"/>
        <color theme="5"/>
      </font>
      <fill>
        <patternFill>
          <bgColor theme="5" tint="0.79998168889431442"/>
        </patternFill>
      </fill>
    </dxf>
    <dxf>
      <font>
        <b/>
        <i val="0"/>
        <color theme="4"/>
      </font>
      <fill>
        <patternFill>
          <bgColor theme="4" tint="0.79998168889431442"/>
        </patternFill>
      </fill>
    </dxf>
    <dxf>
      <font>
        <b/>
        <i val="0"/>
        <color theme="4"/>
      </font>
      <fill>
        <patternFill>
          <bgColor theme="4" tint="0.79998168889431442"/>
        </patternFill>
      </fill>
    </dxf>
    <dxf>
      <font>
        <b/>
        <i val="0"/>
        <color theme="5"/>
      </font>
      <fill>
        <patternFill>
          <bgColor theme="5" tint="0.79998168889431442"/>
        </patternFill>
      </fill>
    </dxf>
    <dxf>
      <font>
        <b/>
        <i val="0"/>
        <color theme="5"/>
      </font>
      <fill>
        <patternFill>
          <bgColor theme="5" tint="0.79998168889431442"/>
        </patternFill>
      </fill>
    </dxf>
    <dxf>
      <font>
        <b/>
        <i val="0"/>
        <color theme="4"/>
      </font>
      <fill>
        <patternFill>
          <bgColor theme="4" tint="0.79998168889431442"/>
        </patternFill>
      </fill>
    </dxf>
    <dxf>
      <font>
        <b/>
        <i val="0"/>
        <color theme="5"/>
      </font>
      <fill>
        <patternFill>
          <bgColor theme="5" tint="0.79998168889431442"/>
        </patternFill>
      </fill>
    </dxf>
    <dxf>
      <font>
        <b/>
        <i val="0"/>
        <color theme="4"/>
      </font>
      <fill>
        <patternFill>
          <bgColor theme="4" tint="0.79998168889431442"/>
        </patternFill>
      </fill>
    </dxf>
    <dxf>
      <font>
        <b/>
        <i val="0"/>
        <color theme="4"/>
      </font>
      <fill>
        <patternFill>
          <bgColor theme="4" tint="0.79998168889431442"/>
        </patternFill>
      </fill>
    </dxf>
    <dxf>
      <font>
        <b/>
        <i val="0"/>
        <color theme="5"/>
      </font>
      <fill>
        <patternFill>
          <bgColor theme="5" tint="0.79998168889431442"/>
        </patternFill>
      </fill>
    </dxf>
    <dxf>
      <font>
        <b/>
        <i val="0"/>
        <color theme="5"/>
      </font>
      <fill>
        <patternFill>
          <bgColor theme="5" tint="0.79998168889431442"/>
        </patternFill>
      </fill>
    </dxf>
    <dxf>
      <font>
        <b/>
        <i val="0"/>
        <color theme="5"/>
      </font>
      <fill>
        <patternFill>
          <bgColor theme="5" tint="0.79998168889431442"/>
        </patternFill>
      </fill>
    </dxf>
  </dxfs>
  <tableStyles count="0" defaultTableStyle="TableStyleMedium2" defaultPivotStyle="PivotStyleLight16"/>
  <colors>
    <mruColors>
      <color rgb="FFFF3A53"/>
      <color rgb="FFD5DCFF"/>
      <color rgb="FFFFD7DC"/>
      <color rgb="FF69FFAD"/>
      <color rgb="FF2D053C"/>
      <color rgb="FFF3C2A9"/>
      <color rgb="FFFBECE5"/>
      <color rgb="FFBF83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0" Type="http://schemas.microsoft.com/office/2017/06/relationships/rdRichValue" Target="richData/rdrichvalue.xml"/><Relationship Id="rId4" Type="http://schemas.openxmlformats.org/officeDocument/2006/relationships/worksheet" Target="worksheets/sheet4.xml"/><Relationship Id="rId9" Type="http://schemas.microsoft.com/office/2022/10/relationships/richValueRel" Target="richData/richValueRel.xml"/></Relationships>
</file>

<file path=xl/drawings/drawing1.xml><?xml version="1.0" encoding="utf-8"?>
<xdr:wsDr xmlns:xdr="http://schemas.openxmlformats.org/drawingml/2006/spreadsheetDrawing" xmlns:a="http://schemas.openxmlformats.org/drawingml/2006/main">
  <xdr:twoCellAnchor>
    <xdr:from>
      <xdr:col>7</xdr:col>
      <xdr:colOff>71436</xdr:colOff>
      <xdr:row>1</xdr:row>
      <xdr:rowOff>49212</xdr:rowOff>
    </xdr:from>
    <xdr:to>
      <xdr:col>12</xdr:col>
      <xdr:colOff>343647</xdr:colOff>
      <xdr:row>3</xdr:row>
      <xdr:rowOff>11905</xdr:rowOff>
    </xdr:to>
    <xdr:sp macro="" textlink="">
      <xdr:nvSpPr>
        <xdr:cNvPr id="4" name="TextBox 3">
          <a:extLst>
            <a:ext uri="{FF2B5EF4-FFF2-40B4-BE49-F238E27FC236}">
              <a16:creationId xmlns:a16="http://schemas.microsoft.com/office/drawing/2014/main" id="{6C161EE3-C9BF-415E-B42C-FBCFD95925B5}"/>
            </a:ext>
            <a:ext uri="{147F2762-F138-4A5C-976F-8EAC2B608ADB}">
              <a16:predDERef xmlns:a16="http://schemas.microsoft.com/office/drawing/2014/main" pred="{C21983DF-6709-4E67-BA6E-D436918E016F}"/>
            </a:ext>
          </a:extLst>
        </xdr:cNvPr>
        <xdr:cNvSpPr txBox="1"/>
      </xdr:nvSpPr>
      <xdr:spPr>
        <a:xfrm>
          <a:off x="9678612" y="94036"/>
          <a:ext cx="3335153" cy="9786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r>
            <a:rPr lang="en-US" sz="1000" b="1">
              <a:solidFill>
                <a:schemeClr val="dk1"/>
              </a:solidFill>
              <a:latin typeface="Arial" panose="020B0604020202020204" pitchFamily="34" charset="0"/>
              <a:ea typeface="+mn-lt"/>
              <a:cs typeface="Arial" panose="020B0604020202020204" pitchFamily="34" charset="0"/>
            </a:rPr>
            <a:t>Terminology</a:t>
          </a:r>
        </a:p>
        <a:p>
          <a:pPr marL="0" indent="0"/>
          <a:r>
            <a:rPr lang="en-US" sz="1000">
              <a:solidFill>
                <a:schemeClr val="dk1"/>
              </a:solidFill>
              <a:latin typeface="Arial" panose="020B0604020202020204" pitchFamily="34" charset="0"/>
              <a:ea typeface="+mn-lt"/>
              <a:cs typeface="Arial" panose="020B0604020202020204" pitchFamily="34" charset="0"/>
            </a:rPr>
            <a:t>CR = clinical radiology | LTFT = less than full-time</a:t>
          </a:r>
        </a:p>
        <a:p>
          <a:pPr marL="0" indent="0"/>
          <a:r>
            <a:rPr lang="en-US" sz="1000">
              <a:solidFill>
                <a:schemeClr val="dk1"/>
              </a:solidFill>
              <a:latin typeface="Arial" panose="020B0604020202020204" pitchFamily="34" charset="0"/>
              <a:ea typeface="+mn-lt"/>
              <a:cs typeface="Arial" panose="020B0604020202020204" pitchFamily="34" charset="0"/>
            </a:rPr>
            <a:t>WTE = whole-time equivalent | PAs = professional activities | SAS = specialty and specialist</a:t>
          </a:r>
          <a:endParaRPr lang="en-US" sz="1000" b="0" i="0" u="none" strike="noStrike">
            <a:solidFill>
              <a:schemeClr val="dk1"/>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r>
            <a:rPr lang="en-US" sz="1000" b="0" i="0" u="none" strike="noStrike">
              <a:solidFill>
                <a:schemeClr val="dk1"/>
              </a:solidFill>
              <a:latin typeface="Arial" panose="020B0604020202020204" pitchFamily="34" charset="0"/>
              <a:cs typeface="Arial" panose="020B0604020202020204" pitchFamily="34" charset="0"/>
            </a:rPr>
            <a:t>NK = not known | * = suppressed value for anonymity</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71438</xdr:colOff>
      <xdr:row>1</xdr:row>
      <xdr:rowOff>49212</xdr:rowOff>
    </xdr:from>
    <xdr:to>
      <xdr:col>10</xdr:col>
      <xdr:colOff>649941</xdr:colOff>
      <xdr:row>3</xdr:row>
      <xdr:rowOff>11905</xdr:rowOff>
    </xdr:to>
    <xdr:sp macro="" textlink="">
      <xdr:nvSpPr>
        <xdr:cNvPr id="2" name="TextBox 1">
          <a:extLst>
            <a:ext uri="{FF2B5EF4-FFF2-40B4-BE49-F238E27FC236}">
              <a16:creationId xmlns:a16="http://schemas.microsoft.com/office/drawing/2014/main" id="{86BDA373-AD43-4362-85FF-212A4C2B3CBC}"/>
            </a:ext>
            <a:ext uri="{147F2762-F138-4A5C-976F-8EAC2B608ADB}">
              <a16:predDERef xmlns:a16="http://schemas.microsoft.com/office/drawing/2014/main" pred="{C21983DF-6709-4E67-BA6E-D436918E016F}"/>
            </a:ext>
          </a:extLst>
        </xdr:cNvPr>
        <xdr:cNvSpPr txBox="1"/>
      </xdr:nvSpPr>
      <xdr:spPr>
        <a:xfrm>
          <a:off x="9588967" y="94036"/>
          <a:ext cx="3200680" cy="9786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r>
            <a:rPr lang="en-US" sz="1000" b="1">
              <a:solidFill>
                <a:schemeClr val="dk1"/>
              </a:solidFill>
              <a:latin typeface="Arial" panose="020B0604020202020204" pitchFamily="34" charset="0"/>
              <a:ea typeface="+mn-lt"/>
              <a:cs typeface="Arial" panose="020B0604020202020204" pitchFamily="34" charset="0"/>
            </a:rPr>
            <a:t>Terminology</a:t>
          </a:r>
        </a:p>
        <a:p>
          <a:pPr marL="0" indent="0"/>
          <a:r>
            <a:rPr lang="en-US" sz="1000">
              <a:solidFill>
                <a:schemeClr val="dk1"/>
              </a:solidFill>
              <a:latin typeface="Arial" panose="020B0604020202020204" pitchFamily="34" charset="0"/>
              <a:ea typeface="+mn-lt"/>
              <a:cs typeface="Arial" panose="020B0604020202020204" pitchFamily="34" charset="0"/>
            </a:rPr>
            <a:t>CR = clinical radiology | LTFT = less than full-time</a:t>
          </a:r>
        </a:p>
        <a:p>
          <a:pPr marL="0" indent="0"/>
          <a:r>
            <a:rPr lang="en-US" sz="1000">
              <a:solidFill>
                <a:schemeClr val="dk1"/>
              </a:solidFill>
              <a:latin typeface="Arial" panose="020B0604020202020204" pitchFamily="34" charset="0"/>
              <a:ea typeface="+mn-lt"/>
              <a:cs typeface="Arial" panose="020B0604020202020204" pitchFamily="34" charset="0"/>
            </a:rPr>
            <a:t>WTE = whole-time equivalent | PAs = professional activities | SAS = specialty and specialist</a:t>
          </a:r>
          <a:endParaRPr lang="en-US" sz="1000" b="0" i="0" u="none" strike="noStrike">
            <a:solidFill>
              <a:schemeClr val="dk1"/>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r>
            <a:rPr lang="en-US" sz="1000" b="0" i="0" u="none" strike="noStrike">
              <a:solidFill>
                <a:schemeClr val="dk1"/>
              </a:solidFill>
              <a:latin typeface="Arial" panose="020B0604020202020204" pitchFamily="34" charset="0"/>
              <a:cs typeface="Arial" panose="020B0604020202020204" pitchFamily="34" charset="0"/>
            </a:rPr>
            <a:t>NK = not known | * = suppressed value for anonymity</a:t>
          </a:r>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RCR Brand Theme">
      <a:dk1>
        <a:sysClr val="windowText" lastClr="000000"/>
      </a:dk1>
      <a:lt1>
        <a:sysClr val="window" lastClr="FFFFFF"/>
      </a:lt1>
      <a:dk2>
        <a:srgbClr val="2D053C"/>
      </a:dk2>
      <a:lt2>
        <a:srgbClr val="F8F7FF"/>
      </a:lt2>
      <a:accent1>
        <a:srgbClr val="FF3A53"/>
      </a:accent1>
      <a:accent2>
        <a:srgbClr val="2E54FF"/>
      </a:accent2>
      <a:accent3>
        <a:srgbClr val="00FFFF"/>
      </a:accent3>
      <a:accent4>
        <a:srgbClr val="C8FF0A"/>
      </a:accent4>
      <a:accent5>
        <a:srgbClr val="32FF64"/>
      </a:accent5>
      <a:accent6>
        <a:srgbClr val="F0EFFF"/>
      </a:accent6>
      <a:hlink>
        <a:srgbClr val="FF3A53"/>
      </a:hlink>
      <a:folHlink>
        <a:srgbClr val="2E54FF"/>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hyperlink" Target="https://www.england.nhs.uk/statistics/statistical-work-areas/diagnostic-imaging-dataset/" TargetMode="External"/><Relationship Id="rId1" Type="http://schemas.openxmlformats.org/officeDocument/2006/relationships/hyperlink" Target="mailto:census@rcr.ac.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2FA38-3DF5-4252-89B5-61E283133A7F}">
  <dimension ref="A1:BQ95"/>
  <sheetViews>
    <sheetView showGridLines="0" tabSelected="1" zoomScale="85" zoomScaleNormal="85" workbookViewId="0">
      <pane ySplit="7" topLeftCell="A25" activePane="bottomLeft" state="frozen"/>
      <selection activeCell="G28" sqref="C26:G28"/>
      <selection pane="bottomLeft" activeCell="C43" sqref="C43"/>
    </sheetView>
  </sheetViews>
  <sheetFormatPr defaultColWidth="8.7265625" defaultRowHeight="14" x14ac:dyDescent="0.3"/>
  <cols>
    <col min="1" max="1" width="1.81640625" style="98" customWidth="1"/>
    <col min="2" max="2" width="70.1796875" style="100" customWidth="1"/>
    <col min="3" max="3" width="14.1796875" style="98" customWidth="1"/>
    <col min="4" max="6" width="12.54296875" style="98" customWidth="1"/>
    <col min="7" max="7" width="13.81640625" style="98" customWidth="1"/>
    <col min="8" max="16384" width="8.7265625" style="98"/>
  </cols>
  <sheetData>
    <row r="1" spans="1:68" ht="3.65" customHeight="1" x14ac:dyDescent="0.3"/>
    <row r="2" spans="1:68" ht="34.5" customHeight="1" x14ac:dyDescent="0.3">
      <c r="B2" s="228" t="s">
        <v>51</v>
      </c>
      <c r="C2" s="97"/>
      <c r="D2" s="99"/>
      <c r="E2" s="231" t="e" vm="1">
        <v>#VALUE!</v>
      </c>
      <c r="F2" s="231"/>
      <c r="G2" s="231"/>
    </row>
    <row r="3" spans="1:68" ht="45" customHeight="1" x14ac:dyDescent="0.3">
      <c r="B3" s="228"/>
      <c r="C3" s="99"/>
      <c r="D3" s="99"/>
      <c r="E3" s="231"/>
      <c r="F3" s="231"/>
      <c r="G3" s="231"/>
    </row>
    <row r="4" spans="1:68" ht="14.5" customHeight="1" x14ac:dyDescent="0.3">
      <c r="B4" s="1" t="s">
        <v>0</v>
      </c>
    </row>
    <row r="5" spans="1:68" x14ac:dyDescent="0.3">
      <c r="D5" s="233" t="s">
        <v>63</v>
      </c>
      <c r="E5" s="233"/>
      <c r="F5" s="232" t="s">
        <v>1</v>
      </c>
      <c r="G5" s="232"/>
    </row>
    <row r="6" spans="1:68" ht="5" customHeight="1" thickBot="1" x14ac:dyDescent="0.35">
      <c r="C6" s="101"/>
    </row>
    <row r="7" spans="1:68" ht="26.5" thickBot="1" x14ac:dyDescent="0.35">
      <c r="B7" s="88" t="s">
        <v>52</v>
      </c>
      <c r="C7" s="88" t="s">
        <v>2</v>
      </c>
      <c r="D7" s="88" t="s">
        <v>3</v>
      </c>
      <c r="E7" s="88" t="s">
        <v>4</v>
      </c>
      <c r="F7" s="88" t="s">
        <v>5</v>
      </c>
      <c r="G7" s="89" t="s">
        <v>6</v>
      </c>
    </row>
    <row r="8" spans="1:68" ht="14.5" thickBot="1" x14ac:dyDescent="0.35">
      <c r="B8" s="2" t="s">
        <v>7</v>
      </c>
      <c r="C8" s="3">
        <v>134</v>
      </c>
      <c r="D8" s="3">
        <v>5</v>
      </c>
      <c r="E8" s="3">
        <v>13</v>
      </c>
      <c r="F8" s="3">
        <v>7</v>
      </c>
      <c r="G8" s="36">
        <f>SUM(C8:F8)</f>
        <v>159</v>
      </c>
      <c r="I8" s="137"/>
    </row>
    <row r="9" spans="1:68" x14ac:dyDescent="0.3">
      <c r="B9" s="111" t="s">
        <v>8</v>
      </c>
      <c r="C9" s="112"/>
      <c r="D9" s="112"/>
      <c r="E9" s="112"/>
      <c r="F9" s="112"/>
      <c r="G9" s="113"/>
    </row>
    <row r="10" spans="1:68" ht="25" x14ac:dyDescent="0.3">
      <c r="B10" s="4" t="s">
        <v>9</v>
      </c>
      <c r="C10" s="90">
        <v>0.66410000000000002</v>
      </c>
      <c r="D10" s="5">
        <v>0.8</v>
      </c>
      <c r="E10" s="5">
        <v>0.76919999999999999</v>
      </c>
      <c r="F10" s="5">
        <v>1</v>
      </c>
      <c r="G10" s="47">
        <v>0.69</v>
      </c>
      <c r="H10" s="101"/>
    </row>
    <row r="11" spans="1:68" x14ac:dyDescent="0.3">
      <c r="B11" s="4" t="s">
        <v>10</v>
      </c>
      <c r="C11" s="5">
        <v>0.53</v>
      </c>
      <c r="D11" s="5">
        <v>0.4</v>
      </c>
      <c r="E11" s="5">
        <v>0.31</v>
      </c>
      <c r="F11" s="5">
        <v>0.86</v>
      </c>
      <c r="G11" s="47">
        <v>0.52</v>
      </c>
    </row>
    <row r="12" spans="1:68" x14ac:dyDescent="0.3">
      <c r="B12" s="4" t="s">
        <v>100</v>
      </c>
      <c r="C12" s="5">
        <f>75/C8</f>
        <v>0.55970149253731338</v>
      </c>
      <c r="D12" s="5">
        <f>2/D8</f>
        <v>0.4</v>
      </c>
      <c r="E12" s="5">
        <f>7/E8</f>
        <v>0.53846153846153844</v>
      </c>
      <c r="F12" s="5">
        <f>2/F8</f>
        <v>0.2857142857142857</v>
      </c>
      <c r="G12" s="47">
        <f>86/G8</f>
        <v>0.54088050314465408</v>
      </c>
    </row>
    <row r="13" spans="1:68" ht="14.5" thickBot="1" x14ac:dyDescent="0.35">
      <c r="B13" s="6" t="s">
        <v>11</v>
      </c>
      <c r="C13" s="5">
        <v>0.3</v>
      </c>
      <c r="D13" s="5">
        <v>0.2</v>
      </c>
      <c r="E13" s="5">
        <v>0.23</v>
      </c>
      <c r="F13" s="5">
        <v>0.56999999999999995</v>
      </c>
      <c r="G13" s="47">
        <v>0.3</v>
      </c>
      <c r="H13" s="101"/>
    </row>
    <row r="14" spans="1:68" s="103" customFormat="1" ht="7.4" customHeight="1" thickTop="1" thickBot="1" x14ac:dyDescent="0.35">
      <c r="A14" s="102"/>
      <c r="B14" s="7"/>
      <c r="C14" s="77"/>
      <c r="D14" s="77"/>
      <c r="E14" s="77"/>
      <c r="F14" s="77"/>
      <c r="G14" s="77"/>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102"/>
      <c r="BP14" s="102"/>
    </row>
    <row r="15" spans="1:68" x14ac:dyDescent="0.3">
      <c r="B15" s="114" t="s">
        <v>12</v>
      </c>
      <c r="C15" s="115"/>
      <c r="D15" s="115"/>
      <c r="E15" s="115"/>
      <c r="F15" s="115"/>
      <c r="G15" s="116"/>
      <c r="H15" s="104"/>
    </row>
    <row r="16" spans="1:68" x14ac:dyDescent="0.3">
      <c r="B16" s="85" t="s">
        <v>13</v>
      </c>
      <c r="C16" s="80">
        <v>4149</v>
      </c>
      <c r="D16" s="80">
        <v>164</v>
      </c>
      <c r="E16" s="207">
        <v>414</v>
      </c>
      <c r="F16" s="193">
        <v>195.5</v>
      </c>
      <c r="G16" s="81">
        <f>SUM(C16:F16)</f>
        <v>4922.5</v>
      </c>
      <c r="H16" s="104"/>
    </row>
    <row r="17" spans="1:68" x14ac:dyDescent="0.3">
      <c r="B17" s="86" t="s">
        <v>14</v>
      </c>
      <c r="C17" s="62">
        <v>396.3</v>
      </c>
      <c r="D17" s="8">
        <v>25.5</v>
      </c>
      <c r="E17" s="8">
        <v>60</v>
      </c>
      <c r="F17" s="8">
        <v>20</v>
      </c>
      <c r="G17" s="37">
        <f>SUM(C17:F17)</f>
        <v>501.8</v>
      </c>
      <c r="H17" s="104"/>
    </row>
    <row r="18" spans="1:68" x14ac:dyDescent="0.3">
      <c r="B18" s="86" t="s">
        <v>15</v>
      </c>
      <c r="C18" s="74">
        <f>C17/C16</f>
        <v>9.5516992046276214E-2</v>
      </c>
      <c r="D18" s="74">
        <f>D17/D16</f>
        <v>0.15548780487804878</v>
      </c>
      <c r="E18" s="74">
        <f>E17/E16</f>
        <v>0.14492753623188406</v>
      </c>
      <c r="F18" s="5">
        <f>F17/F16</f>
        <v>0.10230179028132992</v>
      </c>
      <c r="G18" s="224">
        <f>G17/G16</f>
        <v>0.10194007110208228</v>
      </c>
      <c r="H18" s="104"/>
    </row>
    <row r="19" spans="1:68" x14ac:dyDescent="0.3">
      <c r="B19" s="87" t="s">
        <v>16</v>
      </c>
      <c r="C19" s="62">
        <v>3784.9</v>
      </c>
      <c r="D19" s="55">
        <v>150.5</v>
      </c>
      <c r="E19" s="208">
        <v>383.4</v>
      </c>
      <c r="F19" s="193">
        <v>186.6</v>
      </c>
      <c r="G19" s="63">
        <f>SUM(C19:F19)</f>
        <v>4505.4000000000005</v>
      </c>
      <c r="H19" s="104"/>
    </row>
    <row r="20" spans="1:68" x14ac:dyDescent="0.3">
      <c r="B20" s="11" t="s">
        <v>342</v>
      </c>
      <c r="C20" s="12">
        <v>685.4</v>
      </c>
      <c r="D20" s="12">
        <v>23</v>
      </c>
      <c r="E20" s="12">
        <v>51.9</v>
      </c>
      <c r="F20" s="12">
        <v>26.6</v>
      </c>
      <c r="G20" s="38">
        <f>SUM(C20:F20)</f>
        <v>786.9</v>
      </c>
      <c r="H20" s="104"/>
    </row>
    <row r="21" spans="1:68" x14ac:dyDescent="0.3">
      <c r="B21" s="9" t="s">
        <v>17</v>
      </c>
      <c r="C21" s="221">
        <f>C20/C19</f>
        <v>0.18108800760918387</v>
      </c>
      <c r="D21" s="225">
        <f>D20/D19</f>
        <v>0.15282392026578073</v>
      </c>
      <c r="E21" s="225">
        <f>E20/E19</f>
        <v>0.13536776212832552</v>
      </c>
      <c r="F21" s="225">
        <f>F20/F19</f>
        <v>0.14255091103965703</v>
      </c>
      <c r="G21" s="41">
        <f>G20/G19</f>
        <v>0.17465707817285922</v>
      </c>
      <c r="H21" s="104"/>
    </row>
    <row r="22" spans="1:68" x14ac:dyDescent="0.3">
      <c r="B22" s="13" t="s">
        <v>101</v>
      </c>
      <c r="C22" s="64">
        <v>115.5</v>
      </c>
      <c r="D22" s="64">
        <v>1</v>
      </c>
      <c r="E22" s="64">
        <v>3</v>
      </c>
      <c r="F22" s="64">
        <v>7</v>
      </c>
      <c r="G22" s="65">
        <f>SUM(C22:F22)</f>
        <v>126.5</v>
      </c>
      <c r="H22" s="104"/>
    </row>
    <row r="23" spans="1:68" ht="16.399999999999999" customHeight="1" x14ac:dyDescent="0.3">
      <c r="B23" s="13" t="s">
        <v>53</v>
      </c>
      <c r="C23" s="52">
        <v>1699</v>
      </c>
      <c r="D23" s="52">
        <v>49</v>
      </c>
      <c r="E23" s="52">
        <v>188</v>
      </c>
      <c r="F23" s="52">
        <v>105</v>
      </c>
      <c r="G23" s="53">
        <v>2049</v>
      </c>
      <c r="H23" s="104"/>
    </row>
    <row r="24" spans="1:68" x14ac:dyDescent="0.3">
      <c r="B24" s="21" t="s">
        <v>18</v>
      </c>
      <c r="C24" s="221">
        <f>C23/(C23+C16)</f>
        <v>0.29052667578659369</v>
      </c>
      <c r="D24" s="221">
        <f>D23/(D23+D16)</f>
        <v>0.2300469483568075</v>
      </c>
      <c r="E24" s="221">
        <f>E23/(E23+E16)</f>
        <v>0.3122923588039867</v>
      </c>
      <c r="F24" s="221">
        <f>F23/(F23+F16)</f>
        <v>0.34941763727121466</v>
      </c>
      <c r="G24" s="226">
        <f>G23/(G23+G16)</f>
        <v>0.29391092304382127</v>
      </c>
      <c r="H24" s="104"/>
    </row>
    <row r="25" spans="1:68" ht="14.5" thickBot="1" x14ac:dyDescent="0.35">
      <c r="B25" s="14" t="s">
        <v>103</v>
      </c>
      <c r="C25" s="15">
        <f>C23+C16+C22</f>
        <v>5963.5</v>
      </c>
      <c r="D25" s="15">
        <f>D23+D16+D22</f>
        <v>214</v>
      </c>
      <c r="E25" s="15">
        <f>E23+E16+E22</f>
        <v>605</v>
      </c>
      <c r="F25" s="15">
        <f>F23+F16+F22</f>
        <v>307.5</v>
      </c>
      <c r="G25" s="61">
        <f>G23+G16+G22</f>
        <v>7098</v>
      </c>
      <c r="H25" s="104"/>
    </row>
    <row r="26" spans="1:68" s="103" customFormat="1" ht="9" customHeight="1" thickTop="1" thickBot="1" x14ac:dyDescent="0.35">
      <c r="A26" s="102"/>
      <c r="B26" s="7"/>
      <c r="C26" s="82"/>
      <c r="D26" s="82"/>
      <c r="E26" s="82"/>
      <c r="F26" s="82"/>
      <c r="G26" s="82"/>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98"/>
      <c r="AS26" s="98"/>
      <c r="AT26" s="98"/>
      <c r="AU26" s="98"/>
      <c r="AV26" s="98"/>
      <c r="AW26" s="98"/>
      <c r="AX26" s="98"/>
      <c r="AY26" s="98"/>
      <c r="AZ26" s="98"/>
      <c r="BA26" s="98"/>
      <c r="BB26" s="98"/>
      <c r="BC26" s="98"/>
      <c r="BD26" s="98"/>
      <c r="BE26" s="98"/>
      <c r="BF26" s="98"/>
      <c r="BG26" s="98"/>
      <c r="BH26" s="98"/>
      <c r="BI26" s="98"/>
      <c r="BJ26" s="98"/>
      <c r="BK26" s="98"/>
      <c r="BL26" s="98"/>
      <c r="BM26" s="98"/>
      <c r="BN26" s="98"/>
      <c r="BO26" s="98"/>
      <c r="BP26" s="98"/>
    </row>
    <row r="27" spans="1:68" ht="14.5" thickTop="1" x14ac:dyDescent="0.3">
      <c r="B27" s="114" t="s">
        <v>19</v>
      </c>
      <c r="C27" s="117"/>
      <c r="D27" s="117"/>
      <c r="E27" s="117"/>
      <c r="F27" s="117"/>
      <c r="G27" s="118"/>
    </row>
    <row r="28" spans="1:68" x14ac:dyDescent="0.3">
      <c r="B28" s="92" t="s">
        <v>23</v>
      </c>
      <c r="C28" s="75">
        <v>0.09</v>
      </c>
      <c r="D28" s="75">
        <v>0.08</v>
      </c>
      <c r="E28" s="75">
        <v>7.0000000000000007E-2</v>
      </c>
      <c r="F28" s="75">
        <v>0.05</v>
      </c>
      <c r="G28" s="93">
        <f>(100%-(G19/G16))</f>
        <v>8.4733367191467623E-2</v>
      </c>
      <c r="H28" s="104"/>
    </row>
    <row r="29" spans="1:68" ht="14.5" thickBot="1" x14ac:dyDescent="0.35">
      <c r="B29" s="6" t="s">
        <v>347</v>
      </c>
      <c r="C29" s="20">
        <v>1.9</v>
      </c>
      <c r="D29" s="20">
        <v>1.6</v>
      </c>
      <c r="E29" s="20">
        <v>2.1</v>
      </c>
      <c r="F29" s="20">
        <v>2.4</v>
      </c>
      <c r="G29" s="76">
        <v>1.9</v>
      </c>
      <c r="H29" s="104"/>
    </row>
    <row r="30" spans="1:68" s="103" customFormat="1" ht="7.4" customHeight="1" thickTop="1" thickBot="1" x14ac:dyDescent="0.35">
      <c r="A30" s="102"/>
      <c r="B30" s="7"/>
      <c r="C30" s="35"/>
      <c r="D30" s="35"/>
      <c r="E30" s="35"/>
      <c r="F30" s="35"/>
      <c r="G30" s="35"/>
      <c r="H30" s="104"/>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102"/>
      <c r="AT30" s="102"/>
      <c r="AU30" s="102"/>
      <c r="AV30" s="102"/>
      <c r="AW30" s="102"/>
      <c r="AX30" s="102"/>
      <c r="AY30" s="102"/>
      <c r="AZ30" s="102"/>
      <c r="BA30" s="102"/>
      <c r="BB30" s="102"/>
      <c r="BC30" s="102"/>
      <c r="BD30" s="102"/>
      <c r="BE30" s="102"/>
      <c r="BF30" s="102"/>
      <c r="BG30" s="102"/>
      <c r="BH30" s="102"/>
      <c r="BI30" s="102"/>
      <c r="BJ30" s="102"/>
      <c r="BK30" s="102"/>
      <c r="BL30" s="102"/>
      <c r="BM30" s="102"/>
      <c r="BN30" s="102"/>
      <c r="BO30" s="102"/>
      <c r="BP30" s="102"/>
    </row>
    <row r="31" spans="1:68" ht="14.5" thickTop="1" x14ac:dyDescent="0.3">
      <c r="B31" s="114" t="s">
        <v>64</v>
      </c>
      <c r="C31" s="117"/>
      <c r="D31" s="117"/>
      <c r="E31" s="117"/>
      <c r="F31" s="117"/>
      <c r="G31" s="118"/>
      <c r="H31" s="104"/>
    </row>
    <row r="32" spans="1:68" s="104" customFormat="1" ht="17.149999999999999" customHeight="1" x14ac:dyDescent="0.3">
      <c r="B32" s="18" t="s">
        <v>20</v>
      </c>
      <c r="C32" s="16">
        <v>422.2</v>
      </c>
      <c r="D32" s="16">
        <v>24.1</v>
      </c>
      <c r="E32" s="16">
        <v>44.6</v>
      </c>
      <c r="F32" s="16">
        <v>16.600000000000001</v>
      </c>
      <c r="G32" s="39">
        <f>SUM(C32:F32)</f>
        <v>507.50000000000006</v>
      </c>
    </row>
    <row r="33" spans="1:69" x14ac:dyDescent="0.3">
      <c r="B33" s="10" t="s">
        <v>21</v>
      </c>
      <c r="C33" s="75">
        <f>C32/(C32+C19)</f>
        <v>0.10035416320030424</v>
      </c>
      <c r="D33" s="75">
        <f>D32/(D32+D19)</f>
        <v>0.13802978235967928</v>
      </c>
      <c r="E33" s="75">
        <f>E32/(E32+E19)</f>
        <v>0.10420560747663551</v>
      </c>
      <c r="F33" s="75">
        <f>F32/(F32+F19)</f>
        <v>8.1692913385826779E-2</v>
      </c>
      <c r="G33" s="40">
        <f>G32/(G32+G19)</f>
        <v>0.10123880388597419</v>
      </c>
      <c r="H33" s="104"/>
    </row>
    <row r="34" spans="1:69" ht="14.5" thickBot="1" x14ac:dyDescent="0.35">
      <c r="B34" s="14" t="s">
        <v>22</v>
      </c>
      <c r="C34" s="84">
        <v>0.4</v>
      </c>
      <c r="D34" s="84">
        <v>0.6</v>
      </c>
      <c r="E34" s="84">
        <v>0.64</v>
      </c>
      <c r="F34" s="84">
        <v>0.53</v>
      </c>
      <c r="G34" s="91">
        <v>0.43</v>
      </c>
      <c r="H34" s="104"/>
    </row>
    <row r="35" spans="1:69" ht="3" customHeight="1" thickBot="1" x14ac:dyDescent="0.35">
      <c r="H35" s="104"/>
    </row>
    <row r="36" spans="1:69" s="103" customFormat="1" ht="7.4" customHeight="1" thickTop="1" thickBot="1" x14ac:dyDescent="0.35">
      <c r="A36" s="102"/>
      <c r="B36" s="7"/>
      <c r="C36" s="35"/>
      <c r="D36" s="35"/>
      <c r="E36" s="35"/>
      <c r="F36" s="35"/>
      <c r="G36" s="35"/>
      <c r="H36" s="98"/>
      <c r="I36" s="98"/>
      <c r="J36" s="98"/>
      <c r="K36" s="98"/>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c r="AT36" s="102"/>
      <c r="AU36" s="102"/>
      <c r="AV36" s="102"/>
      <c r="AW36" s="102"/>
      <c r="AX36" s="102"/>
      <c r="AY36" s="102"/>
      <c r="AZ36" s="102"/>
      <c r="BA36" s="102"/>
      <c r="BB36" s="102"/>
      <c r="BC36" s="102"/>
      <c r="BD36" s="102"/>
      <c r="BE36" s="102"/>
      <c r="BF36" s="102"/>
      <c r="BG36" s="102"/>
      <c r="BH36" s="102"/>
      <c r="BI36" s="102"/>
      <c r="BJ36" s="102"/>
      <c r="BK36" s="102"/>
      <c r="BL36" s="102"/>
      <c r="BM36" s="102"/>
      <c r="BN36" s="102"/>
      <c r="BO36" s="102"/>
      <c r="BP36" s="102"/>
    </row>
    <row r="37" spans="1:69" ht="14.5" thickTop="1" x14ac:dyDescent="0.3">
      <c r="B37" s="114" t="s">
        <v>68</v>
      </c>
      <c r="C37" s="117"/>
      <c r="D37" s="117"/>
      <c r="E37" s="117"/>
      <c r="F37" s="117"/>
      <c r="G37" s="118"/>
    </row>
    <row r="38" spans="1:69" x14ac:dyDescent="0.3">
      <c r="B38" s="4" t="s">
        <v>24</v>
      </c>
      <c r="C38" s="221">
        <v>6.4280291314006144E-2</v>
      </c>
      <c r="D38" s="221">
        <v>4.1522491349480939E-2</v>
      </c>
      <c r="E38" s="221">
        <v>4.8687089715536036E-2</v>
      </c>
      <c r="F38" s="221">
        <v>7.5504322766570597E-2</v>
      </c>
      <c r="G38" s="222">
        <v>6.3E-2</v>
      </c>
      <c r="H38" s="104"/>
    </row>
    <row r="39" spans="1:69" ht="18" customHeight="1" x14ac:dyDescent="0.3">
      <c r="B39" s="4" t="s">
        <v>25</v>
      </c>
      <c r="C39" s="221">
        <v>4.496538792788618E-2</v>
      </c>
      <c r="D39" s="221">
        <v>3.6339744338346858E-2</v>
      </c>
      <c r="E39" s="221">
        <v>4.7918014855939717E-2</v>
      </c>
      <c r="F39" s="221">
        <v>3.8073576782280183E-2</v>
      </c>
      <c r="G39" s="41">
        <v>4.4628278211662709E-2</v>
      </c>
      <c r="H39" s="104"/>
    </row>
    <row r="40" spans="1:69" s="104" customFormat="1" ht="26.5" customHeight="1" x14ac:dyDescent="0.3">
      <c r="B40" s="4" t="s">
        <v>26</v>
      </c>
      <c r="C40" s="221">
        <f>(C23/1286)^(1/5)-1</f>
        <v>5.7281132246522981E-2</v>
      </c>
      <c r="D40" s="221">
        <f>(D23/51)^(1/5)-1</f>
        <v>-7.9691435837833113E-3</v>
      </c>
      <c r="E40" s="221">
        <f>(E23/149)^(1/5)-1</f>
        <v>4.7597169101035952E-2</v>
      </c>
      <c r="F40" s="221">
        <f>(F23/69)^(1/5)-1</f>
        <v>8.7597101915158015E-2</v>
      </c>
      <c r="G40" s="41">
        <f>(G23/1555)^(1/5)-1</f>
        <v>5.672580520410575E-2</v>
      </c>
      <c r="I40" s="98"/>
      <c r="J40" s="98"/>
      <c r="K40" s="98"/>
    </row>
    <row r="41" spans="1:69" s="104" customFormat="1" ht="21.75" customHeight="1" x14ac:dyDescent="0.3">
      <c r="B41" s="95" t="s">
        <v>339</v>
      </c>
      <c r="C41" s="75">
        <v>0.03</v>
      </c>
      <c r="D41" s="75">
        <v>2.1000000000000001E-2</v>
      </c>
      <c r="E41" s="75">
        <v>3.5999999999999997E-2</v>
      </c>
      <c r="F41" s="75">
        <v>0.03</v>
      </c>
      <c r="G41" s="96">
        <v>0.03</v>
      </c>
      <c r="I41" s="98"/>
      <c r="J41" s="98"/>
      <c r="K41" s="98"/>
    </row>
    <row r="42" spans="1:69" ht="18" customHeight="1" x14ac:dyDescent="0.3">
      <c r="B42" s="10" t="s">
        <v>27</v>
      </c>
      <c r="C42" s="51">
        <v>0.2</v>
      </c>
      <c r="D42" s="51">
        <v>0.25</v>
      </c>
      <c r="E42" s="51">
        <v>0.18</v>
      </c>
      <c r="F42" s="51">
        <v>0.21</v>
      </c>
      <c r="G42" s="42">
        <v>0.2</v>
      </c>
      <c r="H42" s="104"/>
      <c r="BQ42" s="104"/>
    </row>
    <row r="43" spans="1:69" ht="18" customHeight="1" x14ac:dyDescent="0.3">
      <c r="B43" s="4" t="s">
        <v>54</v>
      </c>
      <c r="C43" s="73">
        <v>4530</v>
      </c>
      <c r="D43" s="73">
        <v>162</v>
      </c>
      <c r="E43" s="73">
        <v>466</v>
      </c>
      <c r="F43" s="73">
        <v>240</v>
      </c>
      <c r="G43" s="54">
        <v>5398.73</v>
      </c>
      <c r="H43" s="104"/>
      <c r="BQ43" s="104"/>
    </row>
    <row r="44" spans="1:69" ht="17.5" customHeight="1" thickBot="1" x14ac:dyDescent="0.35">
      <c r="B44" s="6" t="s">
        <v>55</v>
      </c>
      <c r="C44" s="223">
        <f>(C43/C19)^(1/5)-1</f>
        <v>3.6594161712431905E-2</v>
      </c>
      <c r="D44" s="223">
        <f>(D43/D19)^(1/5)-1</f>
        <v>1.4835621592574677E-2</v>
      </c>
      <c r="E44" s="223">
        <f>(E43/E19)^(1/5)-1</f>
        <v>3.9792694115675209E-2</v>
      </c>
      <c r="F44" s="223">
        <f>(F43/F19)^(1/5)-1</f>
        <v>5.1622623432097337E-2</v>
      </c>
      <c r="G44" s="78">
        <f>(G43/G19)^(1/5)-1</f>
        <v>3.6839778692741243E-2</v>
      </c>
      <c r="H44" s="104"/>
      <c r="BQ44" s="104"/>
    </row>
    <row r="45" spans="1:69" s="103" customFormat="1" ht="7.4" customHeight="1" thickTop="1" thickBot="1" x14ac:dyDescent="0.35">
      <c r="A45" s="102"/>
      <c r="B45" s="7"/>
      <c r="C45" s="35"/>
      <c r="D45" s="35"/>
      <c r="E45" s="35"/>
      <c r="F45" s="35"/>
      <c r="G45" s="35"/>
      <c r="H45" s="98"/>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c r="AY45" s="102"/>
      <c r="AZ45" s="102"/>
      <c r="BA45" s="102"/>
      <c r="BB45" s="102"/>
      <c r="BC45" s="102"/>
      <c r="BD45" s="102"/>
      <c r="BE45" s="102"/>
      <c r="BF45" s="102"/>
      <c r="BG45" s="102"/>
      <c r="BH45" s="102"/>
      <c r="BI45" s="102"/>
      <c r="BJ45" s="102"/>
      <c r="BK45" s="102"/>
      <c r="BL45" s="102"/>
      <c r="BM45" s="102"/>
      <c r="BN45" s="102"/>
      <c r="BO45" s="102"/>
      <c r="BP45" s="102"/>
      <c r="BQ45" s="104"/>
    </row>
    <row r="46" spans="1:69" ht="14.5" thickTop="1" x14ac:dyDescent="0.3">
      <c r="B46" s="114" t="s">
        <v>28</v>
      </c>
      <c r="C46" s="119"/>
      <c r="D46" s="119"/>
      <c r="E46" s="119"/>
      <c r="F46" s="119"/>
      <c r="G46" s="120"/>
      <c r="H46" s="104"/>
      <c r="BQ46" s="104"/>
    </row>
    <row r="47" spans="1:69" x14ac:dyDescent="0.3">
      <c r="B47" s="10" t="s">
        <v>29</v>
      </c>
      <c r="C47" s="19">
        <v>57106398</v>
      </c>
      <c r="D47" s="19">
        <v>1910543</v>
      </c>
      <c r="E47" s="19">
        <v>5447700</v>
      </c>
      <c r="F47" s="19">
        <v>3131640</v>
      </c>
      <c r="G47" s="43">
        <f>SUM(C47:F47)</f>
        <v>67596281</v>
      </c>
      <c r="H47" s="104"/>
      <c r="I47" s="101"/>
      <c r="BQ47" s="104"/>
    </row>
    <row r="48" spans="1:69" ht="28" customHeight="1" x14ac:dyDescent="0.3">
      <c r="B48" s="4" t="s">
        <v>102</v>
      </c>
      <c r="C48" s="17">
        <f>(C19+C23+C22)/(C47/100000)</f>
        <v>9.8052060646514594</v>
      </c>
      <c r="D48" s="17">
        <f>(D19+D23+D22)/(D47/100000)</f>
        <v>10.494398712826669</v>
      </c>
      <c r="E48" s="17">
        <f>(E19+E23+E22)/(E47/100000)</f>
        <v>10.543899260238266</v>
      </c>
      <c r="F48" s="17">
        <f>(F19+F23+F22)/(F47/100000)</f>
        <v>9.5349401591498388</v>
      </c>
      <c r="G48" s="94">
        <f>(G19+G23+G22)/(G47/100000)</f>
        <v>9.8835319061414051</v>
      </c>
      <c r="H48" s="104"/>
      <c r="BQ48" s="104"/>
    </row>
    <row r="49" spans="1:69" ht="14.5" thickBot="1" x14ac:dyDescent="0.35">
      <c r="B49" s="6" t="s">
        <v>30</v>
      </c>
      <c r="C49" s="20">
        <f>C20/(C47/1000000)</f>
        <v>12.002157796749849</v>
      </c>
      <c r="D49" s="20">
        <f>D20/(D47/1000000)</f>
        <v>12.038462363841065</v>
      </c>
      <c r="E49" s="20">
        <f>E20/(E47/1000000)</f>
        <v>9.5269563301943929</v>
      </c>
      <c r="F49" s="20">
        <f>F20/(F47/1000000)</f>
        <v>8.4939520506827098</v>
      </c>
      <c r="G49" s="76">
        <f>G20/(G47/1000000)</f>
        <v>11.641172981099359</v>
      </c>
      <c r="H49" s="104"/>
      <c r="BQ49" s="104"/>
    </row>
    <row r="50" spans="1:69" s="103" customFormat="1" ht="7.4" customHeight="1" thickTop="1" thickBot="1" x14ac:dyDescent="0.35">
      <c r="A50" s="102"/>
      <c r="B50" s="7"/>
      <c r="C50" s="35"/>
      <c r="D50" s="35"/>
      <c r="E50" s="35"/>
      <c r="F50" s="35"/>
      <c r="G50" s="35"/>
      <c r="H50" s="104"/>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4"/>
    </row>
    <row r="51" spans="1:69" ht="14.5" thickTop="1" x14ac:dyDescent="0.3">
      <c r="B51" s="139" t="s">
        <v>58</v>
      </c>
      <c r="C51" s="140"/>
      <c r="D51" s="140"/>
      <c r="E51" s="140"/>
      <c r="F51" s="140"/>
      <c r="G51" s="141"/>
      <c r="H51" s="104"/>
      <c r="BQ51" s="104"/>
    </row>
    <row r="52" spans="1:69" s="106" customFormat="1" x14ac:dyDescent="0.3">
      <c r="B52" s="13" t="s">
        <v>31</v>
      </c>
      <c r="C52" s="68">
        <v>151436397.55000001</v>
      </c>
      <c r="D52" s="68">
        <v>5225247.4000000004</v>
      </c>
      <c r="E52" s="68">
        <v>11660816.16</v>
      </c>
      <c r="F52" s="69">
        <v>5925718</v>
      </c>
      <c r="G52" s="70">
        <f>SUM(C52:F52)</f>
        <v>174248179.11000001</v>
      </c>
      <c r="H52" s="104"/>
      <c r="BQ52" s="104"/>
    </row>
    <row r="53" spans="1:69" s="106" customFormat="1" x14ac:dyDescent="0.3">
      <c r="B53" s="4" t="s">
        <v>32</v>
      </c>
      <c r="C53" s="68">
        <v>61976560.530000001</v>
      </c>
      <c r="D53" s="68">
        <v>3147336</v>
      </c>
      <c r="E53" s="68">
        <v>4774696.72</v>
      </c>
      <c r="F53" s="69">
        <v>3972146</v>
      </c>
      <c r="G53" s="70">
        <f t="shared" ref="G53:G55" si="0">SUM(C53:F53)</f>
        <v>73870739.25</v>
      </c>
      <c r="H53" s="104"/>
      <c r="BQ53" s="104"/>
    </row>
    <row r="54" spans="1:69" s="106" customFormat="1" x14ac:dyDescent="0.3">
      <c r="B54" s="21" t="s">
        <v>33</v>
      </c>
      <c r="C54" s="68">
        <v>22670838</v>
      </c>
      <c r="D54" s="68">
        <v>740000</v>
      </c>
      <c r="E54" s="68">
        <v>2588383.0299999998</v>
      </c>
      <c r="F54" s="69">
        <v>1531957.25</v>
      </c>
      <c r="G54" s="70">
        <f t="shared" si="0"/>
        <v>27531178.280000001</v>
      </c>
      <c r="H54" s="104"/>
      <c r="BQ54" s="104"/>
    </row>
    <row r="55" spans="1:69" s="106" customFormat="1" ht="14.5" thickBot="1" x14ac:dyDescent="0.35">
      <c r="B55" s="22" t="s">
        <v>34</v>
      </c>
      <c r="C55" s="71">
        <f>SUM(C52:C54)</f>
        <v>236083796.08000001</v>
      </c>
      <c r="D55" s="71">
        <f t="shared" ref="D55:F55" si="1">SUM(D52:D54)</f>
        <v>9112583.4000000004</v>
      </c>
      <c r="E55" s="71">
        <f t="shared" si="1"/>
        <v>19023895.91</v>
      </c>
      <c r="F55" s="71">
        <f t="shared" si="1"/>
        <v>11429821.25</v>
      </c>
      <c r="G55" s="83">
        <f t="shared" si="0"/>
        <v>275650096.63999999</v>
      </c>
      <c r="H55" s="104"/>
      <c r="BQ55" s="104"/>
    </row>
    <row r="56" spans="1:69" s="106" customFormat="1" ht="19" customHeight="1" x14ac:dyDescent="0.3">
      <c r="B56" s="4" t="s">
        <v>66</v>
      </c>
      <c r="C56" s="67">
        <f>C55/C47</f>
        <v>4.1341041345314764</v>
      </c>
      <c r="D56" s="67">
        <f>D55/D47</f>
        <v>4.7696300999244716</v>
      </c>
      <c r="E56" s="67">
        <f t="shared" ref="E56:G56" si="2">E55/E47</f>
        <v>3.4920968316904384</v>
      </c>
      <c r="F56" s="67">
        <f t="shared" si="2"/>
        <v>3.6497877310291091</v>
      </c>
      <c r="G56" s="72">
        <f t="shared" si="2"/>
        <v>4.0778884956703463</v>
      </c>
      <c r="H56" s="104"/>
      <c r="BQ56" s="104"/>
    </row>
    <row r="57" spans="1:69" s="106" customFormat="1" ht="14.5" thickBot="1" x14ac:dyDescent="0.35">
      <c r="B57" s="6" t="s">
        <v>67</v>
      </c>
      <c r="C57" s="66">
        <f>C53/C19</f>
        <v>16374.689035377422</v>
      </c>
      <c r="D57" s="66">
        <f>D53/D19</f>
        <v>20912.531561461794</v>
      </c>
      <c r="E57" s="66">
        <f>E53/E19</f>
        <v>12453.564736567554</v>
      </c>
      <c r="F57" s="66">
        <f>F53/F19</f>
        <v>21286.95605573419</v>
      </c>
      <c r="G57" s="79">
        <f>G53/G19</f>
        <v>16396.044579837526</v>
      </c>
      <c r="H57" s="104"/>
    </row>
    <row r="58" spans="1:69" x14ac:dyDescent="0.3">
      <c r="I58" s="138"/>
    </row>
    <row r="59" spans="1:69" ht="13.4" customHeight="1" x14ac:dyDescent="0.3">
      <c r="B59" s="229" t="s">
        <v>65</v>
      </c>
      <c r="C59" s="229"/>
      <c r="D59" s="229"/>
      <c r="E59" s="229"/>
      <c r="F59" s="99"/>
      <c r="G59" s="99"/>
    </row>
    <row r="60" spans="1:69" ht="13.4" customHeight="1" x14ac:dyDescent="0.3">
      <c r="B60" s="230"/>
      <c r="C60" s="230"/>
      <c r="D60" s="230"/>
      <c r="E60" s="230"/>
      <c r="F60" s="99"/>
      <c r="G60" s="99"/>
    </row>
    <row r="61" spans="1:69" ht="16.5" customHeight="1" x14ac:dyDescent="0.3">
      <c r="B61" s="206" t="s">
        <v>0</v>
      </c>
    </row>
    <row r="62" spans="1:69" ht="13.4" customHeight="1" thickBot="1" x14ac:dyDescent="0.35">
      <c r="B62" s="23"/>
      <c r="C62" s="108"/>
      <c r="D62" s="108"/>
      <c r="E62" s="108"/>
      <c r="F62" s="108"/>
      <c r="G62" s="108"/>
    </row>
    <row r="63" spans="1:69" ht="26.5" thickBot="1" x14ac:dyDescent="0.35">
      <c r="B63" s="88" t="s">
        <v>52</v>
      </c>
      <c r="C63" s="88" t="s">
        <v>2</v>
      </c>
      <c r="D63" s="88" t="s">
        <v>3</v>
      </c>
      <c r="E63" s="88" t="s">
        <v>4</v>
      </c>
      <c r="F63" s="88" t="s">
        <v>5</v>
      </c>
      <c r="G63" s="89" t="s">
        <v>6</v>
      </c>
    </row>
    <row r="64" spans="1:69" x14ac:dyDescent="0.3">
      <c r="B64" s="121" t="s">
        <v>35</v>
      </c>
      <c r="C64" s="122"/>
      <c r="D64" s="122"/>
      <c r="E64" s="122"/>
      <c r="F64" s="122"/>
      <c r="G64" s="123"/>
    </row>
    <row r="65" spans="2:9" x14ac:dyDescent="0.3">
      <c r="B65" s="24" t="s">
        <v>36</v>
      </c>
      <c r="C65" s="25"/>
      <c r="D65" s="26"/>
      <c r="E65" s="26"/>
      <c r="F65" s="26"/>
      <c r="G65" s="44"/>
    </row>
    <row r="66" spans="2:9" ht="38.5" x14ac:dyDescent="0.3">
      <c r="B66" s="3" t="s">
        <v>343</v>
      </c>
      <c r="C66" s="56">
        <v>238.5</v>
      </c>
      <c r="D66" s="57">
        <v>8</v>
      </c>
      <c r="E66" s="57">
        <v>16</v>
      </c>
      <c r="F66" s="57">
        <v>29</v>
      </c>
      <c r="G66" s="58">
        <f>SUM(C66:F66)</f>
        <v>291.5</v>
      </c>
      <c r="H66" s="109"/>
      <c r="I66" s="104"/>
    </row>
    <row r="67" spans="2:9" x14ac:dyDescent="0.3">
      <c r="B67" s="27" t="s">
        <v>37</v>
      </c>
      <c r="C67" s="75">
        <f>C66/(C66+C20)</f>
        <v>0.25814482086805934</v>
      </c>
      <c r="D67" s="75">
        <f>D66/(D66+D20)</f>
        <v>0.25806451612903225</v>
      </c>
      <c r="E67" s="75">
        <f>E66/(E66+E20)</f>
        <v>0.235640648011782</v>
      </c>
      <c r="F67" s="75">
        <f>F66/(F66+F20)</f>
        <v>0.52158273381294962</v>
      </c>
      <c r="G67" s="59">
        <f>G66/(G66+G20)</f>
        <v>0.27030786350148367</v>
      </c>
      <c r="H67" s="104"/>
      <c r="I67" s="104"/>
    </row>
    <row r="68" spans="2:9" ht="26" thickBot="1" x14ac:dyDescent="0.35">
      <c r="B68" s="3" t="s">
        <v>340</v>
      </c>
      <c r="C68" s="60">
        <f>C87</f>
        <v>1212.9310937499999</v>
      </c>
      <c r="D68" s="49">
        <f>G68*(D47/G47)</f>
        <v>40.579638916228021</v>
      </c>
      <c r="E68" s="49">
        <f>G68*(E47/G47)</f>
        <v>115.70830854052245</v>
      </c>
      <c r="F68" s="49">
        <f>G68*(F47/G47)</f>
        <v>66.515551032149659</v>
      </c>
      <c r="G68" s="50">
        <f>C68*(G47/C47)</f>
        <v>1435.7345922388999</v>
      </c>
      <c r="H68" s="104"/>
      <c r="I68" s="104"/>
    </row>
    <row r="69" spans="2:9" ht="14.5" thickBot="1" x14ac:dyDescent="0.35">
      <c r="B69" s="28" t="s">
        <v>346</v>
      </c>
      <c r="C69" s="60">
        <f>C68+C66</f>
        <v>1451.4310937499999</v>
      </c>
      <c r="D69" s="15">
        <f>D68+D66</f>
        <v>48.579638916228021</v>
      </c>
      <c r="E69" s="15">
        <f>E68+E66</f>
        <v>131.70830854052247</v>
      </c>
      <c r="F69" s="15">
        <f>F68+F66</f>
        <v>95.515551032149659</v>
      </c>
      <c r="G69" s="61">
        <f>G68+G66</f>
        <v>1727.2345922388999</v>
      </c>
      <c r="H69" s="104"/>
      <c r="I69" s="104"/>
    </row>
    <row r="70" spans="2:9" x14ac:dyDescent="0.3">
      <c r="B70" s="24" t="s">
        <v>39</v>
      </c>
      <c r="C70" s="25"/>
      <c r="D70" s="26"/>
      <c r="E70" s="26"/>
      <c r="F70" s="26"/>
      <c r="G70" s="44"/>
    </row>
    <row r="71" spans="2:9" ht="25.5" thickBot="1" x14ac:dyDescent="0.35">
      <c r="B71" s="3" t="s">
        <v>40</v>
      </c>
      <c r="C71" s="29">
        <f>((12.8*(C47/100000))-C19-C23)*0.7</f>
        <v>1278.0032608000004</v>
      </c>
      <c r="D71" s="30">
        <f>((12.8*(D47/100000))-D19-D23)*0.7</f>
        <v>31.534652799999986</v>
      </c>
      <c r="E71" s="30">
        <f>((12.8*(E47/100000))-E19-E23)*0.7</f>
        <v>88.133920000000032</v>
      </c>
      <c r="F71" s="30">
        <f>((12.8*(F47/100000))-F19-F23)*0.7</f>
        <v>76.474944000000036</v>
      </c>
      <c r="G71" s="45">
        <f>((12.8*(G47/100000))-G19-G23)*0.7</f>
        <v>1468.5467776</v>
      </c>
      <c r="H71" s="101"/>
    </row>
    <row r="72" spans="2:9" x14ac:dyDescent="0.3">
      <c r="B72" s="31" t="s">
        <v>41</v>
      </c>
      <c r="C72" s="32"/>
      <c r="D72" s="33"/>
      <c r="E72" s="33"/>
      <c r="F72" s="33"/>
      <c r="G72" s="46"/>
      <c r="H72" s="104"/>
    </row>
    <row r="73" spans="2:9" ht="25.5" thickBot="1" x14ac:dyDescent="0.35">
      <c r="B73" s="34" t="s">
        <v>341</v>
      </c>
      <c r="C73" s="29">
        <f>C55/C77</f>
        <v>2304.043293612453</v>
      </c>
      <c r="D73" s="30">
        <f>D55/D77</f>
        <v>88.933620260576788</v>
      </c>
      <c r="E73" s="30">
        <f>E55/E77</f>
        <v>185.66238139852632</v>
      </c>
      <c r="F73" s="30">
        <f>F55/F77</f>
        <v>111.54854096520764</v>
      </c>
      <c r="G73" s="45">
        <f>G55/G77</f>
        <v>2690.1878362367638</v>
      </c>
      <c r="H73" s="104"/>
    </row>
    <row r="74" spans="2:9" ht="26" x14ac:dyDescent="0.3">
      <c r="B74" s="31" t="s">
        <v>344</v>
      </c>
      <c r="C74" s="32"/>
      <c r="D74" s="33"/>
      <c r="E74" s="33"/>
      <c r="F74" s="33"/>
      <c r="G74" s="46"/>
      <c r="H74" s="104"/>
    </row>
    <row r="75" spans="2:9" x14ac:dyDescent="0.3">
      <c r="B75" s="124" t="s">
        <v>42</v>
      </c>
      <c r="C75" s="128">
        <f>(C69+C71+C73)/3</f>
        <v>1677.8258827208181</v>
      </c>
      <c r="D75" s="128">
        <f>(D69+D71+D73)/3</f>
        <v>56.349303992268268</v>
      </c>
      <c r="E75" s="128">
        <f>(E69+E71+E73)/3</f>
        <v>135.16820331301628</v>
      </c>
      <c r="F75" s="128">
        <f>(F69+F71+F73)/3</f>
        <v>94.513011999119101</v>
      </c>
      <c r="G75" s="128">
        <f>(G69+G71+G73)/3</f>
        <v>1961.9897353585548</v>
      </c>
      <c r="H75" s="104"/>
    </row>
    <row r="76" spans="2:9" ht="14.5" thickBot="1" x14ac:dyDescent="0.35">
      <c r="B76" s="125" t="s">
        <v>43</v>
      </c>
      <c r="C76" s="129">
        <f>C75/(C75+C19)</f>
        <v>0.30714077893382119</v>
      </c>
      <c r="D76" s="129">
        <f>D75/(D75+D19)</f>
        <v>0.27241717958294182</v>
      </c>
      <c r="E76" s="129">
        <f>E75/(E75+E19)</f>
        <v>0.26065655867339504</v>
      </c>
      <c r="F76" s="129">
        <f>F75/(F75+F19)</f>
        <v>0.33621002217931939</v>
      </c>
      <c r="G76" s="129">
        <f>G75/(G75+G19)</f>
        <v>0.30336655368578636</v>
      </c>
      <c r="H76" s="104"/>
      <c r="I76" s="110"/>
    </row>
    <row r="77" spans="2:9" ht="14.15" hidden="1" customHeight="1" thickBot="1" x14ac:dyDescent="0.35">
      <c r="B77" s="126" t="s">
        <v>62</v>
      </c>
      <c r="C77" s="130">
        <v>102465</v>
      </c>
      <c r="D77" s="130">
        <v>102465</v>
      </c>
      <c r="E77" s="130">
        <v>102465</v>
      </c>
      <c r="F77" s="130">
        <v>102465</v>
      </c>
      <c r="G77" s="130">
        <v>102465</v>
      </c>
      <c r="H77" s="104"/>
    </row>
    <row r="78" spans="2:9" ht="14.15" hidden="1" customHeight="1" thickBot="1" x14ac:dyDescent="0.35">
      <c r="B78" s="126" t="s">
        <v>59</v>
      </c>
      <c r="C78" s="131">
        <v>8033110</v>
      </c>
      <c r="D78" s="132"/>
      <c r="E78" s="133"/>
      <c r="F78" s="133"/>
      <c r="G78" s="134"/>
      <c r="H78" s="104"/>
    </row>
    <row r="79" spans="2:9" ht="14.15" hidden="1" customHeight="1" thickBot="1" x14ac:dyDescent="0.35">
      <c r="B79" s="126" t="s">
        <v>60</v>
      </c>
      <c r="C79" s="209">
        <v>4252865</v>
      </c>
      <c r="D79" s="132"/>
      <c r="E79" s="133"/>
      <c r="F79" s="133"/>
      <c r="G79" s="134"/>
      <c r="H79" s="104"/>
    </row>
    <row r="80" spans="2:9" hidden="1" x14ac:dyDescent="0.3">
      <c r="B80" s="126" t="s">
        <v>61</v>
      </c>
      <c r="C80" s="209">
        <v>21994050</v>
      </c>
      <c r="D80" s="132"/>
      <c r="E80" s="210"/>
      <c r="F80" s="210"/>
      <c r="G80" s="211"/>
      <c r="H80" s="104"/>
    </row>
    <row r="81" spans="2:8" hidden="1" x14ac:dyDescent="0.3">
      <c r="B81" s="126" t="s">
        <v>44</v>
      </c>
      <c r="C81" s="210">
        <f>(C78*0.98)*(15/60)</f>
        <v>1968111.95</v>
      </c>
      <c r="D81" s="210"/>
      <c r="E81" s="210"/>
      <c r="F81" s="210"/>
      <c r="G81" s="211"/>
      <c r="H81" s="104"/>
    </row>
    <row r="82" spans="2:8" hidden="1" x14ac:dyDescent="0.3">
      <c r="B82" s="126" t="s">
        <v>45</v>
      </c>
      <c r="C82" s="212">
        <f>(C79*0.98)*(15/60)</f>
        <v>1041951.9249999999</v>
      </c>
      <c r="D82" s="210"/>
      <c r="E82" s="210"/>
      <c r="F82" s="210"/>
      <c r="G82" s="211"/>
      <c r="H82" s="104"/>
    </row>
    <row r="83" spans="2:8" hidden="1" x14ac:dyDescent="0.3">
      <c r="B83" s="126" t="s">
        <v>46</v>
      </c>
      <c r="C83" s="212">
        <f>(C80*0.4)*(3/60)</f>
        <v>439881</v>
      </c>
      <c r="D83" s="210"/>
      <c r="E83" s="210"/>
      <c r="F83" s="210"/>
      <c r="G83" s="211"/>
      <c r="H83" s="104"/>
    </row>
    <row r="84" spans="2:8" hidden="1" x14ac:dyDescent="0.3">
      <c r="B84" s="126" t="s">
        <v>47</v>
      </c>
      <c r="C84" s="210">
        <f>SUM(C81:C83)</f>
        <v>3449944.875</v>
      </c>
      <c r="D84" s="210"/>
      <c r="E84" s="210"/>
      <c r="F84" s="210"/>
      <c r="G84" s="211"/>
      <c r="H84" s="104"/>
    </row>
    <row r="85" spans="2:8" hidden="1" x14ac:dyDescent="0.3">
      <c r="B85" s="126" t="s">
        <v>48</v>
      </c>
      <c r="C85" s="210">
        <f>(C19-C20)*(20*40)</f>
        <v>2479600</v>
      </c>
      <c r="D85" s="210"/>
      <c r="E85" s="210"/>
      <c r="F85" s="210"/>
      <c r="G85" s="211"/>
      <c r="H85" s="104"/>
    </row>
    <row r="86" spans="2:8" hidden="1" x14ac:dyDescent="0.3">
      <c r="B86" s="126" t="s">
        <v>49</v>
      </c>
      <c r="C86" s="210">
        <f>C84-C85</f>
        <v>970344.875</v>
      </c>
      <c r="D86" s="210"/>
      <c r="E86" s="210"/>
      <c r="F86" s="210"/>
      <c r="G86" s="211"/>
      <c r="H86" s="104"/>
    </row>
    <row r="87" spans="2:8" ht="14.5" hidden="1" thickBot="1" x14ac:dyDescent="0.35">
      <c r="B87" s="126" t="s">
        <v>50</v>
      </c>
      <c r="C87" s="213">
        <f>C86/800</f>
        <v>1212.9310937499999</v>
      </c>
      <c r="D87" s="213"/>
      <c r="E87" s="210"/>
      <c r="F87" s="210"/>
      <c r="G87" s="211"/>
      <c r="H87" s="104"/>
    </row>
    <row r="88" spans="2:8" x14ac:dyDescent="0.3">
      <c r="B88" s="127" t="s">
        <v>56</v>
      </c>
      <c r="C88" s="135">
        <v>3131.7556411497708</v>
      </c>
      <c r="D88" s="135">
        <v>128.11684930844638</v>
      </c>
      <c r="E88" s="135">
        <v>262.98732020603393</v>
      </c>
      <c r="F88" s="135">
        <v>147.33737157391556</v>
      </c>
      <c r="G88" s="135">
        <f>SUM(C88:F88)</f>
        <v>3670.1971822381665</v>
      </c>
      <c r="H88" s="104"/>
    </row>
    <row r="89" spans="2:8" ht="14.5" thickBot="1" x14ac:dyDescent="0.35">
      <c r="B89" s="125" t="s">
        <v>57</v>
      </c>
      <c r="C89" s="136">
        <f>C88/(C43+C88)</f>
        <v>0.40875169971876052</v>
      </c>
      <c r="D89" s="136">
        <f>D88/(D43+D88)</f>
        <v>0.44160430396869205</v>
      </c>
      <c r="E89" s="136">
        <f>E88/(E43+E88)</f>
        <v>0.3607570569700797</v>
      </c>
      <c r="F89" s="136">
        <f>F88/(F43+F88)</f>
        <v>0.38038511743708464</v>
      </c>
      <c r="G89" s="136">
        <f>G88/(G43+G88)</f>
        <v>0.40470025930149545</v>
      </c>
      <c r="H89" s="104"/>
    </row>
    <row r="90" spans="2:8" x14ac:dyDescent="0.3">
      <c r="C90" s="105"/>
      <c r="D90" s="107"/>
    </row>
    <row r="91" spans="2:8" x14ac:dyDescent="0.3">
      <c r="B91" s="98"/>
    </row>
    <row r="92" spans="2:8" x14ac:dyDescent="0.3">
      <c r="B92" s="98"/>
    </row>
    <row r="93" spans="2:8" x14ac:dyDescent="0.3">
      <c r="B93" s="98"/>
    </row>
    <row r="94" spans="2:8" x14ac:dyDescent="0.3">
      <c r="B94" s="98"/>
    </row>
    <row r="95" spans="2:8" x14ac:dyDescent="0.3">
      <c r="B95" s="98"/>
    </row>
  </sheetData>
  <mergeCells count="8">
    <mergeCell ref="B2:B3"/>
    <mergeCell ref="B59:B60"/>
    <mergeCell ref="C59:C60"/>
    <mergeCell ref="D59:D60"/>
    <mergeCell ref="E59:E60"/>
    <mergeCell ref="E2:G3"/>
    <mergeCell ref="F5:G5"/>
    <mergeCell ref="D5:E5"/>
  </mergeCells>
  <conditionalFormatting sqref="C11:F12">
    <cfRule type="aboveAverage" dxfId="47" priority="26"/>
  </conditionalFormatting>
  <conditionalFormatting sqref="C13:F13">
    <cfRule type="aboveAverage" dxfId="46" priority="25"/>
  </conditionalFormatting>
  <conditionalFormatting sqref="C18:F18">
    <cfRule type="aboveAverage" dxfId="45" priority="23"/>
  </conditionalFormatting>
  <conditionalFormatting sqref="C21:F21">
    <cfRule type="aboveAverage" dxfId="44" priority="24" aboveAverage="0"/>
  </conditionalFormatting>
  <conditionalFormatting sqref="C24:F24">
    <cfRule type="aboveAverage" dxfId="43" priority="22" aboveAverage="0"/>
  </conditionalFormatting>
  <conditionalFormatting sqref="C28:F28">
    <cfRule type="aboveAverage" dxfId="42" priority="18"/>
  </conditionalFormatting>
  <conditionalFormatting sqref="C29:F29">
    <cfRule type="aboveAverage" dxfId="41" priority="21" aboveAverage="0"/>
  </conditionalFormatting>
  <conditionalFormatting sqref="C33:F33">
    <cfRule type="aboveAverage" dxfId="40" priority="20"/>
  </conditionalFormatting>
  <conditionalFormatting sqref="C34:F34">
    <cfRule type="aboveAverage" dxfId="39" priority="19"/>
  </conditionalFormatting>
  <conditionalFormatting sqref="C38:F38">
    <cfRule type="aboveAverage" dxfId="38" priority="3" aboveAverage="0"/>
  </conditionalFormatting>
  <conditionalFormatting sqref="C39:F39">
    <cfRule type="aboveAverage" dxfId="37" priority="2" aboveAverage="0"/>
  </conditionalFormatting>
  <conditionalFormatting sqref="C41:F41">
    <cfRule type="aboveAverage" dxfId="36" priority="7"/>
  </conditionalFormatting>
  <conditionalFormatting sqref="C42:F42">
    <cfRule type="aboveAverage" dxfId="35" priority="17"/>
  </conditionalFormatting>
  <conditionalFormatting sqref="C44:F44">
    <cfRule type="aboveAverage" dxfId="34" priority="16" aboveAverage="0"/>
  </conditionalFormatting>
  <conditionalFormatting sqref="C48:F48">
    <cfRule type="aboveAverage" dxfId="33" priority="14" aboveAverage="0"/>
  </conditionalFormatting>
  <conditionalFormatting sqref="C49:F49">
    <cfRule type="aboveAverage" dxfId="32" priority="1" aboveAverage="0"/>
  </conditionalFormatting>
  <conditionalFormatting sqref="C56:F56">
    <cfRule type="aboveAverage" dxfId="31" priority="13"/>
  </conditionalFormatting>
  <conditionalFormatting sqref="C57:F57">
    <cfRule type="aboveAverage" dxfId="30" priority="12"/>
  </conditionalFormatting>
  <conditionalFormatting sqref="C67:F67">
    <cfRule type="aboveAverage" dxfId="29" priority="6"/>
  </conditionalFormatting>
  <conditionalFormatting sqref="C76:F76">
    <cfRule type="aboveAverage" dxfId="28" priority="11"/>
  </conditionalFormatting>
  <conditionalFormatting sqref="C89:F89">
    <cfRule type="aboveAverage" dxfId="27" priority="10"/>
  </conditionalFormatting>
  <conditionalFormatting sqref="C10:G10">
    <cfRule type="aboveAverage" dxfId="26" priority="27"/>
  </conditionalFormatting>
  <conditionalFormatting sqref="C40:G40">
    <cfRule type="aboveAverage" dxfId="25" priority="9" aboveAverage="0"/>
  </conditionalFormatting>
  <pageMargins left="0.7" right="0.7" top="0.75" bottom="0.75" header="0.3" footer="0.3"/>
  <pageSetup paperSize="9" orientation="portrait" horizontalDpi="1200" verticalDpi="1200" r:id="rId1"/>
  <ignoredErrors>
    <ignoredError sqref="G18 G21 E12"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C64A2-BC39-4CDF-85CC-6EE571655C8B}">
  <dimension ref="A1:BW98"/>
  <sheetViews>
    <sheetView showGridLines="0" zoomScale="85" zoomScaleNormal="85" workbookViewId="0">
      <pane ySplit="8" topLeftCell="A25" activePane="bottomLeft" state="frozen"/>
      <selection activeCell="C26" sqref="C26:G28"/>
      <selection pane="bottomLeft" activeCell="B7" sqref="B7"/>
    </sheetView>
  </sheetViews>
  <sheetFormatPr defaultColWidth="8.7265625" defaultRowHeight="14" x14ac:dyDescent="0.3"/>
  <cols>
    <col min="1" max="1" width="1.81640625" style="98" customWidth="1"/>
    <col min="2" max="2" width="70.1796875" style="100" customWidth="1"/>
    <col min="3" max="3" width="14.1796875" style="98" customWidth="1"/>
    <col min="4" max="11" width="12.54296875" style="98" customWidth="1"/>
    <col min="12" max="12" width="12" style="98" hidden="1" customWidth="1"/>
    <col min="13" max="14" width="11.453125" style="98" bestFit="1" customWidth="1"/>
    <col min="15" max="15" width="11.26953125" style="98" bestFit="1" customWidth="1"/>
    <col min="16" max="16" width="12.90625" style="98" customWidth="1"/>
    <col min="17" max="17" width="11.54296875" style="98" customWidth="1"/>
    <col min="18" max="18" width="11.453125" style="98" customWidth="1"/>
    <col min="19" max="19" width="13.7265625" style="98" customWidth="1"/>
    <col min="20" max="16384" width="8.7265625" style="98"/>
  </cols>
  <sheetData>
    <row r="1" spans="1:75" ht="3.65" customHeight="1" x14ac:dyDescent="0.3"/>
    <row r="2" spans="1:75" ht="34.5" customHeight="1" x14ac:dyDescent="0.3">
      <c r="B2" s="228" t="s">
        <v>51</v>
      </c>
      <c r="C2" s="97"/>
      <c r="D2" s="99"/>
      <c r="E2" s="231" t="e" vm="1">
        <v>#VALUE!</v>
      </c>
      <c r="F2" s="231"/>
      <c r="G2" s="231"/>
    </row>
    <row r="3" spans="1:75" ht="45" customHeight="1" x14ac:dyDescent="0.3">
      <c r="B3" s="228"/>
      <c r="C3" s="99"/>
      <c r="D3" s="99"/>
      <c r="E3" s="231"/>
      <c r="F3" s="231"/>
      <c r="G3" s="231"/>
    </row>
    <row r="4" spans="1:75" ht="14.5" customHeight="1" x14ac:dyDescent="0.3">
      <c r="B4" s="1" t="s">
        <v>0</v>
      </c>
    </row>
    <row r="5" spans="1:75" ht="14.5" x14ac:dyDescent="0.35">
      <c r="C5" s="237" t="s">
        <v>63</v>
      </c>
      <c r="D5" s="238"/>
      <c r="E5" s="234" t="s">
        <v>1</v>
      </c>
      <c r="F5" s="235"/>
      <c r="G5" s="236"/>
    </row>
    <row r="6" spans="1:75" ht="7.5" customHeight="1" thickBot="1" x14ac:dyDescent="0.35">
      <c r="B6" s="1"/>
      <c r="C6" s="168"/>
      <c r="D6" s="168"/>
      <c r="E6" s="169"/>
      <c r="F6" s="170"/>
    </row>
    <row r="7" spans="1:75" ht="24" customHeight="1" thickBot="1" x14ac:dyDescent="0.35">
      <c r="C7" s="239" t="s">
        <v>2</v>
      </c>
      <c r="D7" s="240"/>
      <c r="E7" s="240"/>
      <c r="F7" s="240"/>
      <c r="G7" s="240"/>
      <c r="H7" s="240"/>
      <c r="I7" s="240"/>
      <c r="J7" s="240"/>
      <c r="K7" s="241"/>
      <c r="L7" s="88" t="s">
        <v>125</v>
      </c>
      <c r="M7" s="242" t="s">
        <v>4</v>
      </c>
      <c r="N7" s="243"/>
      <c r="O7" s="243"/>
      <c r="P7" s="244"/>
      <c r="Q7" s="245" t="s">
        <v>5</v>
      </c>
      <c r="R7" s="241"/>
      <c r="S7" s="88" t="s">
        <v>6</v>
      </c>
    </row>
    <row r="8" spans="1:75" ht="26.5" thickBot="1" x14ac:dyDescent="0.35">
      <c r="B8" s="88" t="s">
        <v>52</v>
      </c>
      <c r="C8" s="88" t="s">
        <v>107</v>
      </c>
      <c r="D8" s="88" t="s">
        <v>108</v>
      </c>
      <c r="E8" s="88" t="s">
        <v>109</v>
      </c>
      <c r="F8" s="88" t="s">
        <v>110</v>
      </c>
      <c r="G8" s="89" t="s">
        <v>111</v>
      </c>
      <c r="H8" s="89" t="s">
        <v>112</v>
      </c>
      <c r="I8" s="89" t="s">
        <v>113</v>
      </c>
      <c r="J8" s="89" t="s">
        <v>114</v>
      </c>
      <c r="K8" s="88" t="s">
        <v>115</v>
      </c>
      <c r="L8" s="165" t="s">
        <v>124</v>
      </c>
      <c r="M8" s="165" t="s">
        <v>116</v>
      </c>
      <c r="N8" s="166" t="s">
        <v>117</v>
      </c>
      <c r="O8" s="166" t="s">
        <v>118</v>
      </c>
      <c r="P8" s="167" t="s">
        <v>123</v>
      </c>
      <c r="Q8" s="164" t="s">
        <v>122</v>
      </c>
      <c r="R8" s="89" t="s">
        <v>120</v>
      </c>
      <c r="S8" s="89" t="s">
        <v>121</v>
      </c>
    </row>
    <row r="9" spans="1:75" ht="14.5" thickBot="1" x14ac:dyDescent="0.35">
      <c r="B9" s="2" t="s">
        <v>7</v>
      </c>
      <c r="C9" s="3">
        <v>8</v>
      </c>
      <c r="D9" s="3">
        <v>13</v>
      </c>
      <c r="E9" s="3">
        <v>22</v>
      </c>
      <c r="F9" s="3">
        <v>7</v>
      </c>
      <c r="G9" s="3">
        <v>23</v>
      </c>
      <c r="H9" s="3">
        <v>19</v>
      </c>
      <c r="I9" s="3">
        <v>13</v>
      </c>
      <c r="J9" s="3">
        <v>15</v>
      </c>
      <c r="K9" s="3">
        <v>14</v>
      </c>
      <c r="L9" s="3">
        <v>5</v>
      </c>
      <c r="M9" s="3">
        <v>2</v>
      </c>
      <c r="N9" s="3">
        <v>2</v>
      </c>
      <c r="O9" s="3">
        <v>2</v>
      </c>
      <c r="P9" s="3">
        <v>7</v>
      </c>
      <c r="Q9" s="3">
        <v>2</v>
      </c>
      <c r="R9" s="3">
        <v>5</v>
      </c>
      <c r="S9" s="36">
        <f>'UK National CR data 2023'!G8</f>
        <v>159</v>
      </c>
    </row>
    <row r="10" spans="1:75" x14ac:dyDescent="0.3">
      <c r="B10" s="111" t="s">
        <v>8</v>
      </c>
      <c r="C10" s="112"/>
      <c r="D10" s="112"/>
      <c r="E10" s="112"/>
      <c r="F10" s="112"/>
      <c r="G10" s="112"/>
      <c r="H10" s="112"/>
      <c r="I10" s="112"/>
      <c r="J10" s="112"/>
      <c r="K10" s="112"/>
      <c r="L10" s="112"/>
      <c r="M10" s="112"/>
      <c r="N10" s="112"/>
      <c r="O10" s="112"/>
      <c r="P10" s="112"/>
      <c r="Q10" s="112"/>
      <c r="R10" s="112"/>
      <c r="S10" s="113"/>
    </row>
    <row r="11" spans="1:75" ht="25" x14ac:dyDescent="0.3">
      <c r="B11" s="4" t="s">
        <v>9</v>
      </c>
      <c r="C11" s="90">
        <v>0.56999999999999995</v>
      </c>
      <c r="D11" s="90">
        <v>0.62</v>
      </c>
      <c r="E11" s="90">
        <v>0.65</v>
      </c>
      <c r="F11" s="90">
        <v>0.71</v>
      </c>
      <c r="G11" s="90">
        <v>0.55000000000000004</v>
      </c>
      <c r="H11" s="90">
        <v>0.82</v>
      </c>
      <c r="I11" s="90">
        <v>0.62</v>
      </c>
      <c r="J11" s="90">
        <v>0.53</v>
      </c>
      <c r="K11" s="90">
        <v>0.93</v>
      </c>
      <c r="L11" s="90">
        <v>0.8</v>
      </c>
      <c r="M11" s="214" t="s">
        <v>126</v>
      </c>
      <c r="N11" s="186" t="s">
        <v>126</v>
      </c>
      <c r="O11" s="186" t="s">
        <v>126</v>
      </c>
      <c r="P11" s="90">
        <v>0.86</v>
      </c>
      <c r="Q11" s="186" t="s">
        <v>126</v>
      </c>
      <c r="R11" s="90">
        <v>1</v>
      </c>
      <c r="S11" s="47">
        <v>0.69</v>
      </c>
    </row>
    <row r="12" spans="1:75" x14ac:dyDescent="0.3">
      <c r="B12" s="4" t="s">
        <v>10</v>
      </c>
      <c r="C12" s="5">
        <v>0.75</v>
      </c>
      <c r="D12" s="5">
        <v>0.54</v>
      </c>
      <c r="E12" s="5">
        <v>0.41</v>
      </c>
      <c r="F12" s="5">
        <v>0.43</v>
      </c>
      <c r="G12" s="5">
        <v>0.48</v>
      </c>
      <c r="H12" s="5">
        <v>0.57999999999999996</v>
      </c>
      <c r="I12" s="5">
        <v>0.62</v>
      </c>
      <c r="J12" s="5">
        <v>0.53</v>
      </c>
      <c r="K12" s="5">
        <v>0.56999999999999995</v>
      </c>
      <c r="L12" s="5">
        <v>0.4</v>
      </c>
      <c r="M12" s="5">
        <v>0</v>
      </c>
      <c r="N12" s="5">
        <v>1</v>
      </c>
      <c r="O12" s="5">
        <v>0</v>
      </c>
      <c r="P12" s="5">
        <v>0.28999999999999998</v>
      </c>
      <c r="Q12" s="5">
        <v>1</v>
      </c>
      <c r="R12" s="5">
        <v>0.8</v>
      </c>
      <c r="S12" s="47">
        <f>'UK National CR data 2023'!G11</f>
        <v>0.52</v>
      </c>
    </row>
    <row r="13" spans="1:75" hidden="1" x14ac:dyDescent="0.3">
      <c r="B13" s="4" t="s">
        <v>128</v>
      </c>
      <c r="C13" s="55">
        <v>6</v>
      </c>
      <c r="D13" s="55">
        <v>12</v>
      </c>
      <c r="E13" s="55">
        <v>9</v>
      </c>
      <c r="F13" s="55">
        <v>3</v>
      </c>
      <c r="G13" s="55">
        <v>10</v>
      </c>
      <c r="H13" s="55">
        <v>11</v>
      </c>
      <c r="I13" s="55">
        <v>11</v>
      </c>
      <c r="J13" s="55">
        <v>5</v>
      </c>
      <c r="K13" s="55">
        <v>8</v>
      </c>
      <c r="L13" s="55">
        <v>2</v>
      </c>
      <c r="M13" s="55">
        <v>2</v>
      </c>
      <c r="N13" s="55">
        <v>1</v>
      </c>
      <c r="O13" s="55">
        <v>1</v>
      </c>
      <c r="P13" s="55">
        <v>3</v>
      </c>
      <c r="Q13" s="55">
        <v>1</v>
      </c>
      <c r="R13" s="55">
        <v>1</v>
      </c>
      <c r="S13" s="55">
        <f>SUM(C13:R13)</f>
        <v>86</v>
      </c>
    </row>
    <row r="14" spans="1:75" x14ac:dyDescent="0.3">
      <c r="B14" s="4" t="s">
        <v>100</v>
      </c>
      <c r="C14" s="221">
        <f>C13/C9</f>
        <v>0.75</v>
      </c>
      <c r="D14" s="221">
        <f t="shared" ref="D14:S14" si="0">D13/D9</f>
        <v>0.92307692307692313</v>
      </c>
      <c r="E14" s="221">
        <f t="shared" si="0"/>
        <v>0.40909090909090912</v>
      </c>
      <c r="F14" s="221">
        <f t="shared" si="0"/>
        <v>0.42857142857142855</v>
      </c>
      <c r="G14" s="221">
        <f t="shared" si="0"/>
        <v>0.43478260869565216</v>
      </c>
      <c r="H14" s="221">
        <f t="shared" si="0"/>
        <v>0.57894736842105265</v>
      </c>
      <c r="I14" s="221">
        <f t="shared" si="0"/>
        <v>0.84615384615384615</v>
      </c>
      <c r="J14" s="221">
        <f t="shared" si="0"/>
        <v>0.33333333333333331</v>
      </c>
      <c r="K14" s="221">
        <f t="shared" si="0"/>
        <v>0.5714285714285714</v>
      </c>
      <c r="L14" s="221">
        <f t="shared" si="0"/>
        <v>0.4</v>
      </c>
      <c r="M14" s="221">
        <f t="shared" si="0"/>
        <v>1</v>
      </c>
      <c r="N14" s="221">
        <f t="shared" si="0"/>
        <v>0.5</v>
      </c>
      <c r="O14" s="221">
        <f t="shared" si="0"/>
        <v>0.5</v>
      </c>
      <c r="P14" s="221">
        <f t="shared" si="0"/>
        <v>0.42857142857142855</v>
      </c>
      <c r="Q14" s="221">
        <f t="shared" si="0"/>
        <v>0.5</v>
      </c>
      <c r="R14" s="221">
        <f t="shared" si="0"/>
        <v>0.2</v>
      </c>
      <c r="S14" s="5">
        <f t="shared" si="0"/>
        <v>0.54088050314465408</v>
      </c>
    </row>
    <row r="15" spans="1:75" ht="14.5" thickBot="1" x14ac:dyDescent="0.35">
      <c r="B15" s="6" t="s">
        <v>11</v>
      </c>
      <c r="C15" s="5">
        <v>0.25</v>
      </c>
      <c r="D15" s="5">
        <v>0.23</v>
      </c>
      <c r="E15" s="5">
        <v>0.32</v>
      </c>
      <c r="F15" s="5">
        <v>0.43</v>
      </c>
      <c r="G15" s="187">
        <v>0.35</v>
      </c>
      <c r="H15" s="187">
        <v>0.37</v>
      </c>
      <c r="I15" s="187">
        <v>0.23</v>
      </c>
      <c r="J15" s="187">
        <v>0.13</v>
      </c>
      <c r="K15" s="187">
        <v>0.36</v>
      </c>
      <c r="L15" s="187">
        <v>0.2</v>
      </c>
      <c r="M15" s="215"/>
      <c r="N15" s="187">
        <v>0.5</v>
      </c>
      <c r="O15" s="185"/>
      <c r="P15" s="187">
        <v>0.28999999999999998</v>
      </c>
      <c r="Q15" s="187">
        <v>0.5</v>
      </c>
      <c r="R15" s="187">
        <v>0.6</v>
      </c>
      <c r="S15" s="47">
        <v>0.3</v>
      </c>
      <c r="T15" s="102"/>
    </row>
    <row r="16" spans="1:75" s="103" customFormat="1" ht="7.4" customHeight="1" thickTop="1" thickBot="1" x14ac:dyDescent="0.35">
      <c r="A16" s="102"/>
      <c r="B16" s="7"/>
      <c r="C16" s="171"/>
      <c r="D16" s="171"/>
      <c r="E16" s="171"/>
      <c r="F16" s="171"/>
      <c r="G16" s="102"/>
      <c r="H16" s="98"/>
      <c r="I16" s="98"/>
      <c r="J16" s="98"/>
      <c r="K16" s="98"/>
      <c r="L16" s="98"/>
      <c r="M16" s="98"/>
      <c r="N16" s="98"/>
      <c r="O16" s="98"/>
      <c r="P16" s="98"/>
      <c r="Q16" s="98"/>
      <c r="R16" s="98"/>
      <c r="S16" s="171"/>
      <c r="T16" s="102"/>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102"/>
      <c r="BW16" s="102"/>
    </row>
    <row r="17" spans="1:75" ht="14.5" thickTop="1" x14ac:dyDescent="0.3">
      <c r="B17" s="114" t="s">
        <v>12</v>
      </c>
      <c r="C17" s="173"/>
      <c r="D17" s="173"/>
      <c r="E17" s="173"/>
      <c r="F17" s="173"/>
      <c r="G17" s="174"/>
      <c r="H17" s="174"/>
      <c r="I17" s="173"/>
      <c r="J17" s="173"/>
      <c r="K17" s="173"/>
      <c r="L17" s="173"/>
      <c r="M17" s="173"/>
      <c r="N17" s="173"/>
      <c r="O17" s="173"/>
      <c r="P17" s="173"/>
      <c r="Q17" s="173"/>
      <c r="R17" s="173"/>
      <c r="S17" s="175"/>
      <c r="T17" s="102"/>
    </row>
    <row r="18" spans="1:75" x14ac:dyDescent="0.3">
      <c r="B18" s="85" t="s">
        <v>13</v>
      </c>
      <c r="C18" s="80">
        <v>278</v>
      </c>
      <c r="D18" s="80">
        <v>398</v>
      </c>
      <c r="E18" s="192">
        <v>915</v>
      </c>
      <c r="F18" s="193">
        <v>181.5</v>
      </c>
      <c r="G18" s="80">
        <v>590</v>
      </c>
      <c r="H18" s="80">
        <v>611.5</v>
      </c>
      <c r="I18" s="80">
        <v>397</v>
      </c>
      <c r="J18" s="80">
        <v>404.5</v>
      </c>
      <c r="K18" s="80">
        <v>373.5</v>
      </c>
      <c r="L18" s="80">
        <v>164</v>
      </c>
      <c r="M18" s="80">
        <v>45.5</v>
      </c>
      <c r="N18" s="80">
        <v>50</v>
      </c>
      <c r="O18" s="80">
        <v>96.5</v>
      </c>
      <c r="P18" s="80">
        <v>222</v>
      </c>
      <c r="Q18" s="80">
        <v>51.5</v>
      </c>
      <c r="R18" s="80">
        <v>144</v>
      </c>
      <c r="S18" s="81">
        <f>'UK National CR data 2023'!G16</f>
        <v>4922.5</v>
      </c>
      <c r="T18" s="102"/>
    </row>
    <row r="19" spans="1:75" x14ac:dyDescent="0.3">
      <c r="B19" s="86" t="s">
        <v>14</v>
      </c>
      <c r="C19" s="62">
        <v>28</v>
      </c>
      <c r="D19" s="62">
        <v>46.5</v>
      </c>
      <c r="E19" s="62">
        <v>82</v>
      </c>
      <c r="F19" s="62">
        <v>25.3</v>
      </c>
      <c r="G19" s="62">
        <v>44.5</v>
      </c>
      <c r="H19" s="62">
        <v>48.5</v>
      </c>
      <c r="I19" s="62">
        <v>17</v>
      </c>
      <c r="J19" s="62">
        <v>71</v>
      </c>
      <c r="K19" s="62">
        <v>33.5</v>
      </c>
      <c r="L19" s="62">
        <v>25.5</v>
      </c>
      <c r="M19" s="62">
        <v>11</v>
      </c>
      <c r="N19" s="62">
        <v>10</v>
      </c>
      <c r="O19" s="62">
        <v>5.5</v>
      </c>
      <c r="P19" s="62">
        <v>33.5</v>
      </c>
      <c r="Q19" s="62">
        <v>11</v>
      </c>
      <c r="R19" s="62">
        <v>9</v>
      </c>
      <c r="S19" s="37">
        <f>'UK National CR data 2023'!G17</f>
        <v>501.8</v>
      </c>
      <c r="T19" s="102"/>
    </row>
    <row r="20" spans="1:75" x14ac:dyDescent="0.3">
      <c r="B20" s="86" t="s">
        <v>15</v>
      </c>
      <c r="C20" s="74">
        <f>C19/C18</f>
        <v>0.10071942446043165</v>
      </c>
      <c r="D20" s="74">
        <f t="shared" ref="D20:R20" si="1">D19/D18</f>
        <v>0.11683417085427136</v>
      </c>
      <c r="E20" s="74">
        <f t="shared" si="1"/>
        <v>8.9617486338797819E-2</v>
      </c>
      <c r="F20" s="74">
        <f t="shared" si="1"/>
        <v>0.1393939393939394</v>
      </c>
      <c r="G20" s="74">
        <f t="shared" si="1"/>
        <v>7.5423728813559326E-2</v>
      </c>
      <c r="H20" s="74">
        <f t="shared" si="1"/>
        <v>7.9313164349959123E-2</v>
      </c>
      <c r="I20" s="74">
        <f t="shared" si="1"/>
        <v>4.2821158690176324E-2</v>
      </c>
      <c r="J20" s="74">
        <f t="shared" si="1"/>
        <v>0.17552533992583436</v>
      </c>
      <c r="K20" s="74">
        <f t="shared" si="1"/>
        <v>8.9692101740294516E-2</v>
      </c>
      <c r="L20" s="74">
        <f t="shared" si="1"/>
        <v>0.15548780487804878</v>
      </c>
      <c r="M20" s="74">
        <f t="shared" si="1"/>
        <v>0.24175824175824176</v>
      </c>
      <c r="N20" s="74">
        <f t="shared" si="1"/>
        <v>0.2</v>
      </c>
      <c r="O20" s="74">
        <f t="shared" si="1"/>
        <v>5.6994818652849742E-2</v>
      </c>
      <c r="P20" s="74">
        <f t="shared" si="1"/>
        <v>0.15090090090090091</v>
      </c>
      <c r="Q20" s="74">
        <f t="shared" si="1"/>
        <v>0.21359223300970873</v>
      </c>
      <c r="R20" s="74">
        <f t="shared" si="1"/>
        <v>6.25E-2</v>
      </c>
      <c r="S20" s="224">
        <f>S19/S18</f>
        <v>0.10194007110208228</v>
      </c>
      <c r="T20" s="102"/>
    </row>
    <row r="21" spans="1:75" x14ac:dyDescent="0.3">
      <c r="B21" s="87" t="s">
        <v>16</v>
      </c>
      <c r="C21" s="62">
        <v>253.7</v>
      </c>
      <c r="D21" s="62">
        <v>364.7</v>
      </c>
      <c r="E21" s="62">
        <v>820.8</v>
      </c>
      <c r="F21" s="62">
        <v>168</v>
      </c>
      <c r="G21" s="62">
        <v>539.20000000000005</v>
      </c>
      <c r="H21" s="62">
        <v>559.9</v>
      </c>
      <c r="I21" s="62">
        <v>355.1</v>
      </c>
      <c r="J21" s="62">
        <v>377.6</v>
      </c>
      <c r="K21" s="62">
        <v>346.1</v>
      </c>
      <c r="L21" s="62">
        <v>150.5</v>
      </c>
      <c r="M21" s="62">
        <v>41.8</v>
      </c>
      <c r="N21" s="62">
        <v>47.2</v>
      </c>
      <c r="O21" s="62">
        <v>89.6</v>
      </c>
      <c r="P21" s="62">
        <v>204.8</v>
      </c>
      <c r="Q21" s="62">
        <v>50.2</v>
      </c>
      <c r="R21" s="62">
        <v>136.4</v>
      </c>
      <c r="S21" s="63">
        <f>'UK National CR data 2023'!G19</f>
        <v>4505.4000000000005</v>
      </c>
      <c r="T21" s="176"/>
    </row>
    <row r="22" spans="1:75" x14ac:dyDescent="0.3">
      <c r="B22" s="11" t="s">
        <v>342</v>
      </c>
      <c r="C22" s="12">
        <v>40.299999999999997</v>
      </c>
      <c r="D22" s="12">
        <v>52.7</v>
      </c>
      <c r="E22" s="12">
        <v>151.19999999999999</v>
      </c>
      <c r="F22" s="12">
        <v>25.9</v>
      </c>
      <c r="G22" s="12">
        <v>102.6</v>
      </c>
      <c r="H22" s="12">
        <v>111.4</v>
      </c>
      <c r="I22" s="12">
        <v>67.7</v>
      </c>
      <c r="J22" s="12">
        <v>61.7</v>
      </c>
      <c r="K22" s="12">
        <v>72</v>
      </c>
      <c r="L22" s="12">
        <v>23</v>
      </c>
      <c r="M22" s="12">
        <v>7.7</v>
      </c>
      <c r="N22" s="12">
        <v>2</v>
      </c>
      <c r="O22" s="12">
        <v>13</v>
      </c>
      <c r="P22" s="12">
        <v>29.2</v>
      </c>
      <c r="Q22" s="12">
        <v>9.8000000000000007</v>
      </c>
      <c r="R22" s="12">
        <v>16.8</v>
      </c>
      <c r="S22" s="38">
        <f>'UK National CR data 2023'!G20</f>
        <v>786.9</v>
      </c>
      <c r="T22" s="102"/>
    </row>
    <row r="23" spans="1:75" x14ac:dyDescent="0.3">
      <c r="B23" s="9" t="s">
        <v>17</v>
      </c>
      <c r="C23" s="221">
        <f>C22/C21</f>
        <v>0.15884903429247141</v>
      </c>
      <c r="D23" s="221">
        <f t="shared" ref="D23:R23" si="2">D22/D21</f>
        <v>0.14450233068275295</v>
      </c>
      <c r="E23" s="221">
        <f t="shared" si="2"/>
        <v>0.18421052631578946</v>
      </c>
      <c r="F23" s="221">
        <f t="shared" si="2"/>
        <v>0.15416666666666665</v>
      </c>
      <c r="G23" s="221">
        <f t="shared" si="2"/>
        <v>0.19028189910979226</v>
      </c>
      <c r="H23" s="221">
        <f t="shared" si="2"/>
        <v>0.19896410073227364</v>
      </c>
      <c r="I23" s="221">
        <f t="shared" si="2"/>
        <v>0.19065052098000562</v>
      </c>
      <c r="J23" s="221">
        <f t="shared" si="2"/>
        <v>0.16340042372881355</v>
      </c>
      <c r="K23" s="221">
        <f t="shared" si="2"/>
        <v>0.20803236058942501</v>
      </c>
      <c r="L23" s="221">
        <f t="shared" si="2"/>
        <v>0.15282392026578073</v>
      </c>
      <c r="M23" s="221">
        <f t="shared" si="2"/>
        <v>0.18421052631578949</v>
      </c>
      <c r="N23" s="221">
        <f t="shared" si="2"/>
        <v>4.2372881355932202E-2</v>
      </c>
      <c r="O23" s="221">
        <f t="shared" si="2"/>
        <v>0.14508928571428573</v>
      </c>
      <c r="P23" s="221">
        <f t="shared" si="2"/>
        <v>0.142578125</v>
      </c>
      <c r="Q23" s="221">
        <f t="shared" si="2"/>
        <v>0.19521912350597609</v>
      </c>
      <c r="R23" s="221">
        <f t="shared" si="2"/>
        <v>0.12316715542521994</v>
      </c>
      <c r="S23" s="41">
        <f>S22/S21</f>
        <v>0.17465707817285922</v>
      </c>
      <c r="T23" s="102"/>
    </row>
    <row r="24" spans="1:75" x14ac:dyDescent="0.3">
      <c r="B24" s="13" t="s">
        <v>101</v>
      </c>
      <c r="C24" s="64">
        <v>7</v>
      </c>
      <c r="D24" s="64">
        <v>13</v>
      </c>
      <c r="E24" s="64">
        <v>29</v>
      </c>
      <c r="F24" s="64">
        <v>3</v>
      </c>
      <c r="G24" s="64">
        <v>16</v>
      </c>
      <c r="H24" s="64">
        <v>22.5</v>
      </c>
      <c r="I24" s="64">
        <v>12</v>
      </c>
      <c r="J24" s="64">
        <v>4</v>
      </c>
      <c r="K24" s="64">
        <v>9</v>
      </c>
      <c r="L24" s="64">
        <v>1</v>
      </c>
      <c r="M24" s="64"/>
      <c r="N24" s="64">
        <v>2</v>
      </c>
      <c r="O24" s="64"/>
      <c r="P24" s="64">
        <v>1</v>
      </c>
      <c r="Q24" s="64">
        <v>3</v>
      </c>
      <c r="R24" s="64">
        <v>4</v>
      </c>
      <c r="S24" s="179">
        <f>'UK National CR data 2023'!G22</f>
        <v>126.5</v>
      </c>
      <c r="T24" s="102"/>
    </row>
    <row r="25" spans="1:75" ht="16.399999999999999" customHeight="1" x14ac:dyDescent="0.3">
      <c r="B25" s="13" t="s">
        <v>53</v>
      </c>
      <c r="C25" s="52">
        <v>121</v>
      </c>
      <c r="D25" s="52">
        <v>184</v>
      </c>
      <c r="E25" s="52">
        <v>364</v>
      </c>
      <c r="F25" s="52">
        <v>96</v>
      </c>
      <c r="G25" s="52">
        <v>222</v>
      </c>
      <c r="H25" s="52">
        <v>208</v>
      </c>
      <c r="I25" s="52">
        <v>143</v>
      </c>
      <c r="J25" s="52">
        <v>167</v>
      </c>
      <c r="K25" s="52">
        <v>194</v>
      </c>
      <c r="L25" s="52">
        <v>49</v>
      </c>
      <c r="M25" s="52">
        <v>18</v>
      </c>
      <c r="N25" s="52">
        <v>29</v>
      </c>
      <c r="O25" s="52">
        <v>46</v>
      </c>
      <c r="P25" s="52">
        <v>95</v>
      </c>
      <c r="Q25" s="52">
        <v>12</v>
      </c>
      <c r="R25" s="52">
        <v>93</v>
      </c>
      <c r="S25" s="53">
        <f>'UK National CR data 2023'!G23</f>
        <v>2049</v>
      </c>
      <c r="T25" s="102"/>
    </row>
    <row r="26" spans="1:75" x14ac:dyDescent="0.3">
      <c r="B26" s="21" t="s">
        <v>18</v>
      </c>
      <c r="C26" s="221">
        <f>C25/(C25+C18)</f>
        <v>0.3032581453634085</v>
      </c>
      <c r="D26" s="221">
        <f t="shared" ref="D26:R26" si="3">D25/(D25+D18)</f>
        <v>0.31615120274914088</v>
      </c>
      <c r="E26" s="221">
        <f t="shared" si="3"/>
        <v>0.28459734167318218</v>
      </c>
      <c r="F26" s="221">
        <f t="shared" si="3"/>
        <v>0.34594594594594597</v>
      </c>
      <c r="G26" s="221">
        <f t="shared" si="3"/>
        <v>0.27339901477832512</v>
      </c>
      <c r="H26" s="221">
        <f t="shared" si="3"/>
        <v>0.25381330079316655</v>
      </c>
      <c r="I26" s="221">
        <f t="shared" si="3"/>
        <v>0.26481481481481484</v>
      </c>
      <c r="J26" s="221">
        <f t="shared" si="3"/>
        <v>0.29221347331583553</v>
      </c>
      <c r="K26" s="221">
        <f t="shared" si="3"/>
        <v>0.34185022026431716</v>
      </c>
      <c r="L26" s="221">
        <f t="shared" si="3"/>
        <v>0.2300469483568075</v>
      </c>
      <c r="M26" s="221">
        <f t="shared" si="3"/>
        <v>0.28346456692913385</v>
      </c>
      <c r="N26" s="221">
        <f t="shared" si="3"/>
        <v>0.36708860759493672</v>
      </c>
      <c r="O26" s="221">
        <f t="shared" si="3"/>
        <v>0.32280701754385965</v>
      </c>
      <c r="P26" s="221">
        <f t="shared" si="3"/>
        <v>0.29968454258675081</v>
      </c>
      <c r="Q26" s="221">
        <f t="shared" si="3"/>
        <v>0.1889763779527559</v>
      </c>
      <c r="R26" s="221">
        <f t="shared" si="3"/>
        <v>0.39240506329113922</v>
      </c>
      <c r="S26" s="226">
        <f>'UK National CR data 2023'!G24</f>
        <v>0.29391092304382127</v>
      </c>
      <c r="T26" s="102"/>
    </row>
    <row r="27" spans="1:75" ht="14.5" thickBot="1" x14ac:dyDescent="0.35">
      <c r="B27" s="14" t="s">
        <v>103</v>
      </c>
      <c r="C27" s="15">
        <f>C25+C18+C24</f>
        <v>406</v>
      </c>
      <c r="D27" s="15">
        <f t="shared" ref="D27:R27" si="4">D25+D18+D24</f>
        <v>595</v>
      </c>
      <c r="E27" s="15">
        <f t="shared" si="4"/>
        <v>1308</v>
      </c>
      <c r="F27" s="15">
        <f t="shared" si="4"/>
        <v>280.5</v>
      </c>
      <c r="G27" s="15">
        <f t="shared" si="4"/>
        <v>828</v>
      </c>
      <c r="H27" s="15">
        <f t="shared" si="4"/>
        <v>842</v>
      </c>
      <c r="I27" s="15">
        <f t="shared" si="4"/>
        <v>552</v>
      </c>
      <c r="J27" s="15">
        <f t="shared" si="4"/>
        <v>575.5</v>
      </c>
      <c r="K27" s="15">
        <f t="shared" si="4"/>
        <v>576.5</v>
      </c>
      <c r="L27" s="15">
        <f t="shared" si="4"/>
        <v>214</v>
      </c>
      <c r="M27" s="15">
        <f t="shared" si="4"/>
        <v>63.5</v>
      </c>
      <c r="N27" s="15">
        <f t="shared" si="4"/>
        <v>81</v>
      </c>
      <c r="O27" s="15">
        <f t="shared" si="4"/>
        <v>142.5</v>
      </c>
      <c r="P27" s="15">
        <f t="shared" si="4"/>
        <v>318</v>
      </c>
      <c r="Q27" s="15">
        <f t="shared" si="4"/>
        <v>66.5</v>
      </c>
      <c r="R27" s="15">
        <f t="shared" si="4"/>
        <v>241</v>
      </c>
      <c r="S27" s="61">
        <f>'UK National CR data 2023'!G25</f>
        <v>7098</v>
      </c>
      <c r="T27" s="102"/>
    </row>
    <row r="28" spans="1:75" s="103" customFormat="1" ht="9" customHeight="1" thickTop="1" thickBot="1" x14ac:dyDescent="0.35">
      <c r="A28" s="102"/>
      <c r="B28" s="7"/>
      <c r="C28" s="82"/>
      <c r="D28" s="82"/>
      <c r="E28" s="82"/>
      <c r="F28" s="82"/>
      <c r="G28" s="102"/>
      <c r="H28" s="98"/>
      <c r="I28" s="98"/>
      <c r="J28" s="98"/>
      <c r="K28" s="98"/>
      <c r="L28" s="98"/>
      <c r="M28" s="98"/>
      <c r="N28" s="98"/>
      <c r="O28" s="98"/>
      <c r="P28" s="98"/>
      <c r="Q28" s="98"/>
      <c r="R28" s="98"/>
      <c r="S28" s="82"/>
      <c r="T28" s="102"/>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8"/>
      <c r="AW28" s="98"/>
      <c r="AX28" s="98"/>
      <c r="AY28" s="98"/>
      <c r="AZ28" s="98"/>
      <c r="BA28" s="98"/>
      <c r="BB28" s="98"/>
      <c r="BC28" s="98"/>
      <c r="BD28" s="98"/>
      <c r="BE28" s="98"/>
      <c r="BF28" s="98"/>
      <c r="BG28" s="98"/>
      <c r="BH28" s="98"/>
      <c r="BI28" s="98"/>
      <c r="BJ28" s="98"/>
      <c r="BK28" s="98"/>
      <c r="BL28" s="98"/>
      <c r="BM28" s="98"/>
      <c r="BN28" s="98"/>
      <c r="BO28" s="98"/>
      <c r="BP28" s="98"/>
      <c r="BQ28" s="98"/>
      <c r="BR28" s="98"/>
      <c r="BS28" s="98"/>
      <c r="BT28" s="98"/>
      <c r="BU28" s="98"/>
      <c r="BV28" s="98"/>
      <c r="BW28" s="98"/>
    </row>
    <row r="29" spans="1:75" ht="14.5" thickTop="1" x14ac:dyDescent="0.3">
      <c r="B29" s="114" t="s">
        <v>19</v>
      </c>
      <c r="C29" s="117"/>
      <c r="D29" s="117"/>
      <c r="E29" s="117"/>
      <c r="F29" s="117"/>
      <c r="G29" s="117"/>
      <c r="H29" s="117"/>
      <c r="I29" s="117"/>
      <c r="J29" s="117"/>
      <c r="K29" s="117"/>
      <c r="L29" s="117"/>
      <c r="M29" s="117"/>
      <c r="N29" s="117"/>
      <c r="O29" s="117"/>
      <c r="P29" s="117"/>
      <c r="Q29" s="117"/>
      <c r="R29" s="117"/>
      <c r="S29" s="118"/>
      <c r="T29" s="102"/>
    </row>
    <row r="30" spans="1:75" x14ac:dyDescent="0.3">
      <c r="B30" s="92" t="s">
        <v>23</v>
      </c>
      <c r="C30" s="75">
        <v>0.09</v>
      </c>
      <c r="D30" s="75">
        <v>0.08</v>
      </c>
      <c r="E30" s="75">
        <v>0.1</v>
      </c>
      <c r="F30" s="75">
        <v>7.0000000000000007E-2</v>
      </c>
      <c r="G30" s="75">
        <v>0.09</v>
      </c>
      <c r="H30" s="75">
        <v>0.08</v>
      </c>
      <c r="I30" s="75">
        <v>0.11</v>
      </c>
      <c r="J30" s="75">
        <v>7.0000000000000007E-2</v>
      </c>
      <c r="K30" s="75">
        <v>7.0000000000000007E-2</v>
      </c>
      <c r="L30" s="75">
        <v>0.08</v>
      </c>
      <c r="M30" s="75">
        <v>0.08</v>
      </c>
      <c r="N30" s="75">
        <v>0.06</v>
      </c>
      <c r="O30" s="75">
        <v>7.0000000000000007E-2</v>
      </c>
      <c r="P30" s="75">
        <v>0.08</v>
      </c>
      <c r="Q30" s="75">
        <v>0.03</v>
      </c>
      <c r="R30" s="75">
        <v>0.05</v>
      </c>
      <c r="S30" s="93">
        <f>'UK National CR data 2023'!G28</f>
        <v>8.4733367191467623E-2</v>
      </c>
      <c r="T30" s="102"/>
    </row>
    <row r="31" spans="1:75" ht="14.5" thickBot="1" x14ac:dyDescent="0.35">
      <c r="B31" s="6" t="s">
        <v>347</v>
      </c>
      <c r="C31" s="20">
        <v>1.8</v>
      </c>
      <c r="D31" s="20">
        <v>1.9</v>
      </c>
      <c r="E31" s="20">
        <v>2</v>
      </c>
      <c r="F31" s="20">
        <v>1.7</v>
      </c>
      <c r="G31" s="20">
        <v>2</v>
      </c>
      <c r="H31" s="20">
        <v>1.8</v>
      </c>
      <c r="I31" s="20">
        <v>2</v>
      </c>
      <c r="J31" s="20">
        <v>2.1</v>
      </c>
      <c r="K31" s="20">
        <v>1.7</v>
      </c>
      <c r="L31" s="20">
        <v>1.6</v>
      </c>
      <c r="M31" s="20">
        <v>2.1</v>
      </c>
      <c r="N31" s="20">
        <v>2</v>
      </c>
      <c r="O31" s="20">
        <v>2</v>
      </c>
      <c r="P31" s="20">
        <v>2.1</v>
      </c>
      <c r="Q31" s="20">
        <v>2.4</v>
      </c>
      <c r="R31" s="20">
        <v>2.4</v>
      </c>
      <c r="S31" s="76">
        <f>'UK National CR data 2023'!G29</f>
        <v>1.9</v>
      </c>
      <c r="T31" s="102"/>
    </row>
    <row r="32" spans="1:75" s="103" customFormat="1" ht="7.4" customHeight="1" thickTop="1" thickBot="1" x14ac:dyDescent="0.35">
      <c r="A32" s="102"/>
      <c r="B32" s="7"/>
      <c r="C32" s="35"/>
      <c r="D32" s="35"/>
      <c r="E32" s="35"/>
      <c r="F32" s="35"/>
      <c r="G32" s="172"/>
      <c r="H32" s="104"/>
      <c r="I32" s="98"/>
      <c r="J32" s="98"/>
      <c r="K32" s="98"/>
      <c r="L32" s="98"/>
      <c r="M32" s="98"/>
      <c r="N32" s="98"/>
      <c r="O32" s="98"/>
      <c r="P32" s="98"/>
      <c r="Q32" s="98"/>
      <c r="R32" s="98"/>
      <c r="S32" s="35"/>
      <c r="T32" s="102"/>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102"/>
      <c r="BA32" s="102"/>
      <c r="BB32" s="102"/>
      <c r="BC32" s="102"/>
      <c r="BD32" s="102"/>
      <c r="BE32" s="102"/>
      <c r="BF32" s="102"/>
      <c r="BG32" s="102"/>
      <c r="BH32" s="102"/>
      <c r="BI32" s="102"/>
      <c r="BJ32" s="102"/>
      <c r="BK32" s="102"/>
      <c r="BL32" s="102"/>
      <c r="BM32" s="102"/>
      <c r="BN32" s="102"/>
      <c r="BO32" s="102"/>
      <c r="BP32" s="102"/>
      <c r="BQ32" s="102"/>
      <c r="BR32" s="102"/>
      <c r="BS32" s="102"/>
      <c r="BT32" s="102"/>
      <c r="BU32" s="102"/>
      <c r="BV32" s="102"/>
      <c r="BW32" s="102"/>
    </row>
    <row r="33" spans="1:75" ht="14.5" thickTop="1" x14ac:dyDescent="0.3">
      <c r="B33" s="114" t="s">
        <v>64</v>
      </c>
      <c r="C33" s="117"/>
      <c r="D33" s="117"/>
      <c r="E33" s="117"/>
      <c r="F33" s="117"/>
      <c r="G33" s="117"/>
      <c r="H33" s="117"/>
      <c r="I33" s="117"/>
      <c r="J33" s="117"/>
      <c r="K33" s="117"/>
      <c r="L33" s="117"/>
      <c r="M33" s="117"/>
      <c r="N33" s="117"/>
      <c r="O33" s="117"/>
      <c r="P33" s="117"/>
      <c r="Q33" s="117"/>
      <c r="R33" s="117"/>
      <c r="S33" s="118"/>
      <c r="T33" s="102"/>
    </row>
    <row r="34" spans="1:75" s="104" customFormat="1" ht="17.149999999999999" customHeight="1" x14ac:dyDescent="0.3">
      <c r="B34" s="18" t="s">
        <v>20</v>
      </c>
      <c r="C34" s="16">
        <v>48.4</v>
      </c>
      <c r="D34" s="16">
        <v>23.7</v>
      </c>
      <c r="E34" s="16">
        <v>61.7</v>
      </c>
      <c r="F34" s="16">
        <v>31.3</v>
      </c>
      <c r="G34" s="16">
        <v>87.7</v>
      </c>
      <c r="H34" s="16">
        <v>53.8</v>
      </c>
      <c r="I34" s="16">
        <v>48.9</v>
      </c>
      <c r="J34" s="16">
        <v>28.8</v>
      </c>
      <c r="K34" s="16">
        <v>37.9</v>
      </c>
      <c r="L34" s="16">
        <v>24.1</v>
      </c>
      <c r="M34" s="16">
        <v>2</v>
      </c>
      <c r="N34" s="16">
        <v>17.5</v>
      </c>
      <c r="O34" s="16"/>
      <c r="P34" s="16">
        <v>25.1</v>
      </c>
      <c r="Q34" s="16">
        <v>4.5</v>
      </c>
      <c r="R34" s="16">
        <v>12.1</v>
      </c>
      <c r="S34" s="39">
        <f>'UK National CR data 2023'!G32</f>
        <v>507.50000000000006</v>
      </c>
      <c r="T34" s="178"/>
    </row>
    <row r="35" spans="1:75" x14ac:dyDescent="0.3">
      <c r="B35" s="10" t="s">
        <v>21</v>
      </c>
      <c r="C35" s="75">
        <f>C34/(C34+C21)</f>
        <v>0.16021185038066868</v>
      </c>
      <c r="D35" s="75">
        <f t="shared" ref="D35:R35" si="5">D34/(D34+D21)</f>
        <v>6.1019567456230689E-2</v>
      </c>
      <c r="E35" s="75">
        <f t="shared" si="5"/>
        <v>6.9915014164305955E-2</v>
      </c>
      <c r="F35" s="75">
        <f t="shared" si="5"/>
        <v>0.15704967385850477</v>
      </c>
      <c r="G35" s="75">
        <f t="shared" si="5"/>
        <v>0.13989472005104481</v>
      </c>
      <c r="H35" s="75">
        <f t="shared" si="5"/>
        <v>8.7664982890663198E-2</v>
      </c>
      <c r="I35" s="75">
        <f t="shared" si="5"/>
        <v>0.12103960396039604</v>
      </c>
      <c r="J35" s="75">
        <f t="shared" si="5"/>
        <v>7.0866141732283464E-2</v>
      </c>
      <c r="K35" s="75">
        <f t="shared" si="5"/>
        <v>9.8697916666666663E-2</v>
      </c>
      <c r="L35" s="75">
        <f t="shared" si="5"/>
        <v>0.13802978235967928</v>
      </c>
      <c r="M35" s="75">
        <f t="shared" si="5"/>
        <v>4.5662100456621009E-2</v>
      </c>
      <c r="N35" s="75">
        <f t="shared" si="5"/>
        <v>0.27047913446676969</v>
      </c>
      <c r="O35" s="75">
        <f t="shared" si="5"/>
        <v>0</v>
      </c>
      <c r="P35" s="75">
        <f t="shared" si="5"/>
        <v>0.10917790343627665</v>
      </c>
      <c r="Q35" s="75">
        <f t="shared" si="5"/>
        <v>8.226691042047532E-2</v>
      </c>
      <c r="R35" s="75">
        <f t="shared" si="5"/>
        <v>8.1481481481481474E-2</v>
      </c>
      <c r="S35" s="40">
        <f>'UK National CR data 2023'!G33</f>
        <v>0.10123880388597419</v>
      </c>
      <c r="T35" s="102"/>
    </row>
    <row r="36" spans="1:75" ht="14.5" thickBot="1" x14ac:dyDescent="0.35">
      <c r="B36" s="14" t="s">
        <v>22</v>
      </c>
      <c r="C36" s="84">
        <v>0.31</v>
      </c>
      <c r="D36" s="84">
        <v>0.28999999999999998</v>
      </c>
      <c r="E36" s="84">
        <v>0.17</v>
      </c>
      <c r="F36" s="84">
        <v>0.84</v>
      </c>
      <c r="G36" s="84">
        <v>0.36</v>
      </c>
      <c r="H36" s="84">
        <v>0.3</v>
      </c>
      <c r="I36" s="84">
        <v>0.57999999999999996</v>
      </c>
      <c r="J36" s="84">
        <v>0.48</v>
      </c>
      <c r="K36" s="84">
        <v>0.55000000000000004</v>
      </c>
      <c r="L36" s="84">
        <v>0.6</v>
      </c>
      <c r="M36" s="84">
        <v>0.5</v>
      </c>
      <c r="N36" s="84">
        <v>1</v>
      </c>
      <c r="O36" s="84"/>
      <c r="P36" s="84">
        <v>0.4</v>
      </c>
      <c r="Q36" s="84">
        <v>0.4</v>
      </c>
      <c r="R36" s="84">
        <v>0.57999999999999996</v>
      </c>
      <c r="S36" s="91">
        <v>0.43</v>
      </c>
      <c r="T36" s="102"/>
    </row>
    <row r="37" spans="1:75" ht="3" customHeight="1" thickBot="1" x14ac:dyDescent="0.35">
      <c r="H37" s="104"/>
      <c r="T37" s="102"/>
    </row>
    <row r="38" spans="1:75" s="103" customFormat="1" ht="7.4" customHeight="1" thickTop="1" thickBot="1" x14ac:dyDescent="0.35">
      <c r="A38" s="102"/>
      <c r="B38" s="7"/>
      <c r="C38" s="35"/>
      <c r="D38" s="35"/>
      <c r="E38" s="35"/>
      <c r="F38" s="35"/>
      <c r="G38" s="102"/>
      <c r="H38" s="98"/>
      <c r="I38" s="98"/>
      <c r="J38" s="98"/>
      <c r="K38" s="98"/>
      <c r="L38" s="98"/>
      <c r="M38" s="98"/>
      <c r="N38" s="98"/>
      <c r="O38" s="98"/>
      <c r="P38" s="98"/>
      <c r="Q38" s="98"/>
      <c r="R38" s="98"/>
      <c r="S38" s="35"/>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c r="BA38" s="102"/>
      <c r="BB38" s="102"/>
      <c r="BC38" s="102"/>
      <c r="BD38" s="102"/>
      <c r="BE38" s="102"/>
      <c r="BF38" s="102"/>
      <c r="BG38" s="102"/>
      <c r="BH38" s="102"/>
      <c r="BI38" s="102"/>
      <c r="BJ38" s="102"/>
      <c r="BK38" s="102"/>
      <c r="BL38" s="102"/>
      <c r="BM38" s="102"/>
      <c r="BN38" s="102"/>
      <c r="BO38" s="102"/>
      <c r="BP38" s="102"/>
      <c r="BQ38" s="102"/>
      <c r="BR38" s="102"/>
      <c r="BS38" s="102"/>
      <c r="BT38" s="102"/>
      <c r="BU38" s="102"/>
      <c r="BV38" s="102"/>
      <c r="BW38" s="102"/>
    </row>
    <row r="39" spans="1:75" ht="14.5" thickTop="1" x14ac:dyDescent="0.3">
      <c r="B39" s="114" t="s">
        <v>68</v>
      </c>
      <c r="C39" s="117"/>
      <c r="D39" s="117"/>
      <c r="E39" s="117"/>
      <c r="F39" s="117"/>
      <c r="G39" s="117"/>
      <c r="H39" s="117"/>
      <c r="I39" s="117"/>
      <c r="J39" s="117"/>
      <c r="K39" s="117"/>
      <c r="L39" s="117"/>
      <c r="M39" s="117"/>
      <c r="N39" s="117"/>
      <c r="O39" s="117"/>
      <c r="P39" s="117"/>
      <c r="Q39" s="117"/>
      <c r="R39" s="117"/>
      <c r="S39" s="118"/>
      <c r="T39" s="102"/>
    </row>
    <row r="40" spans="1:75" x14ac:dyDescent="0.3">
      <c r="B40" s="4" t="s">
        <v>24</v>
      </c>
      <c r="C40" s="221">
        <v>6.6000000000000003E-2</v>
      </c>
      <c r="D40" s="221">
        <v>7.8E-2</v>
      </c>
      <c r="E40" s="221">
        <v>0.06</v>
      </c>
      <c r="F40" s="221">
        <v>0.129</v>
      </c>
      <c r="G40" s="221">
        <v>2.3E-2</v>
      </c>
      <c r="H40" s="221">
        <v>8.5999999999999993E-2</v>
      </c>
      <c r="I40" s="221">
        <v>5.5E-2</v>
      </c>
      <c r="J40" s="221">
        <v>0.08</v>
      </c>
      <c r="K40" s="221">
        <v>5.5E-2</v>
      </c>
      <c r="L40" s="221">
        <v>4.1000000000000002E-2</v>
      </c>
      <c r="M40" s="221">
        <v>7.5999999999999998E-2</v>
      </c>
      <c r="N40" s="221">
        <v>0.13900000000000001</v>
      </c>
      <c r="O40" s="221">
        <v>1.9E-2</v>
      </c>
      <c r="P40" s="221">
        <v>3.6999999999999998E-2</v>
      </c>
      <c r="Q40" s="221">
        <v>0.13600000000000001</v>
      </c>
      <c r="R40" s="221">
        <v>5.5E-2</v>
      </c>
      <c r="S40" s="222">
        <v>6.3E-2</v>
      </c>
      <c r="T40" s="102"/>
    </row>
    <row r="41" spans="1:75" ht="18" customHeight="1" x14ac:dyDescent="0.3">
      <c r="B41" s="4" t="s">
        <v>25</v>
      </c>
      <c r="C41" s="221">
        <v>4.5999999999999999E-2</v>
      </c>
      <c r="D41" s="221">
        <v>5.2999999999999999E-2</v>
      </c>
      <c r="E41" s="221">
        <v>5.2999999999999999E-2</v>
      </c>
      <c r="F41" s="221">
        <v>4.5999999999999999E-2</v>
      </c>
      <c r="G41" s="221">
        <v>4.2000000000000003E-2</v>
      </c>
      <c r="H41" s="221">
        <v>4.4999999999999998E-2</v>
      </c>
      <c r="I41" s="221">
        <v>1.4999999999999999E-2</v>
      </c>
      <c r="J41" s="221">
        <v>5.2999999999999999E-2</v>
      </c>
      <c r="K41" s="221">
        <v>4.5999999999999999E-2</v>
      </c>
      <c r="L41" s="221">
        <v>3.5999999999999997E-2</v>
      </c>
      <c r="M41" s="221">
        <v>5.8000000000000003E-2</v>
      </c>
      <c r="N41" s="221">
        <v>7.0999999999999994E-2</v>
      </c>
      <c r="O41" s="221">
        <v>7.6999999999999999E-2</v>
      </c>
      <c r="P41" s="221">
        <v>0.03</v>
      </c>
      <c r="Q41" s="221">
        <v>5.7000000000000002E-2</v>
      </c>
      <c r="R41" s="221">
        <v>3.2000000000000001E-2</v>
      </c>
      <c r="S41" s="41">
        <f>'UK National CR data 2023'!G39</f>
        <v>4.4628278211662709E-2</v>
      </c>
      <c r="T41" s="102"/>
    </row>
    <row r="42" spans="1:75" ht="18" hidden="1" customHeight="1" x14ac:dyDescent="0.3">
      <c r="B42" s="4" t="s">
        <v>127</v>
      </c>
      <c r="C42" s="16">
        <v>90</v>
      </c>
      <c r="D42" s="16">
        <v>114</v>
      </c>
      <c r="E42" s="16">
        <v>287</v>
      </c>
      <c r="F42" s="16">
        <v>73</v>
      </c>
      <c r="G42" s="227">
        <v>161</v>
      </c>
      <c r="H42" s="227">
        <v>167</v>
      </c>
      <c r="I42" s="227">
        <v>125</v>
      </c>
      <c r="J42" s="227">
        <v>121</v>
      </c>
      <c r="K42" s="227">
        <v>148</v>
      </c>
      <c r="L42" s="227">
        <v>51</v>
      </c>
      <c r="M42" s="227">
        <v>17</v>
      </c>
      <c r="N42" s="227">
        <v>20</v>
      </c>
      <c r="O42" s="227">
        <v>38</v>
      </c>
      <c r="P42" s="227">
        <v>74</v>
      </c>
      <c r="Q42" s="227">
        <v>12</v>
      </c>
      <c r="R42" s="227">
        <v>57</v>
      </c>
      <c r="S42" s="39"/>
      <c r="T42" s="102"/>
    </row>
    <row r="43" spans="1:75" s="104" customFormat="1" ht="26.5" customHeight="1" x14ac:dyDescent="0.3">
      <c r="B43" s="4" t="s">
        <v>26</v>
      </c>
      <c r="C43" s="221">
        <f>(C25/C42)^(1/5)-1</f>
        <v>6.0983358792663145E-2</v>
      </c>
      <c r="D43" s="221">
        <f t="shared" ref="D43:R43" si="6">(D25/D42)^(1/5)-1</f>
        <v>0.1004811154263312</v>
      </c>
      <c r="E43" s="221">
        <f t="shared" si="6"/>
        <v>4.8682202157017462E-2</v>
      </c>
      <c r="F43" s="221">
        <f t="shared" si="6"/>
        <v>5.6305824683380745E-2</v>
      </c>
      <c r="G43" s="221">
        <f t="shared" si="6"/>
        <v>6.6363864043546883E-2</v>
      </c>
      <c r="H43" s="221">
        <f t="shared" si="6"/>
        <v>4.4887112699772524E-2</v>
      </c>
      <c r="I43" s="221">
        <f t="shared" si="6"/>
        <v>2.7271418190747188E-2</v>
      </c>
      <c r="J43" s="221">
        <f t="shared" si="6"/>
        <v>6.6562279483014297E-2</v>
      </c>
      <c r="K43" s="221">
        <f t="shared" si="6"/>
        <v>5.5620955359358959E-2</v>
      </c>
      <c r="L43" s="221">
        <f t="shared" si="6"/>
        <v>-7.9691435837833113E-3</v>
      </c>
      <c r="M43" s="221">
        <f t="shared" si="6"/>
        <v>1.1497274155136239E-2</v>
      </c>
      <c r="N43" s="221">
        <f t="shared" si="6"/>
        <v>7.7143587792743107E-2</v>
      </c>
      <c r="O43" s="221">
        <f t="shared" si="6"/>
        <v>3.8950477489882784E-2</v>
      </c>
      <c r="P43" s="221">
        <f t="shared" si="6"/>
        <v>5.1231526939494509E-2</v>
      </c>
      <c r="Q43" s="221">
        <f t="shared" si="6"/>
        <v>0</v>
      </c>
      <c r="R43" s="221">
        <f t="shared" si="6"/>
        <v>0.10286313147852999</v>
      </c>
      <c r="S43" s="41">
        <f>'UK National CR data 2023'!G40</f>
        <v>5.672580520410575E-2</v>
      </c>
      <c r="T43" s="102"/>
    </row>
    <row r="44" spans="1:75" s="104" customFormat="1" ht="21.75" customHeight="1" x14ac:dyDescent="0.3">
      <c r="B44" s="95" t="s">
        <v>338</v>
      </c>
      <c r="C44" s="75">
        <v>4.2000000000000003E-2</v>
      </c>
      <c r="D44" s="75">
        <v>2.4E-2</v>
      </c>
      <c r="E44" s="75">
        <v>2.7E-2</v>
      </c>
      <c r="F44" s="75">
        <v>4.2999999999999997E-2</v>
      </c>
      <c r="G44" s="75">
        <v>3.2000000000000001E-2</v>
      </c>
      <c r="H44" s="75">
        <v>2.5999999999999999E-2</v>
      </c>
      <c r="I44" s="75">
        <v>3.3000000000000002E-2</v>
      </c>
      <c r="J44" s="75">
        <v>3.5999999999999997E-2</v>
      </c>
      <c r="K44" s="75">
        <v>2.3E-2</v>
      </c>
      <c r="L44" s="75">
        <v>2.1000000000000001E-2</v>
      </c>
      <c r="M44" s="75">
        <v>7.6999999999999999E-2</v>
      </c>
      <c r="N44" s="75">
        <v>5.8000000000000003E-2</v>
      </c>
      <c r="O44" s="75">
        <v>1.0999999999999999E-2</v>
      </c>
      <c r="P44" s="75">
        <v>3.3000000000000002E-2</v>
      </c>
      <c r="Q44" s="75">
        <v>4.3999999999999997E-2</v>
      </c>
      <c r="R44" s="75">
        <v>2.5000000000000001E-2</v>
      </c>
      <c r="S44" s="96">
        <f>'UK National CR data 2023'!G41</f>
        <v>0.03</v>
      </c>
      <c r="T44" s="178"/>
    </row>
    <row r="45" spans="1:75" ht="18" customHeight="1" x14ac:dyDescent="0.3">
      <c r="B45" s="10" t="s">
        <v>27</v>
      </c>
      <c r="C45" s="51">
        <v>0.17</v>
      </c>
      <c r="D45" s="51">
        <v>0.22</v>
      </c>
      <c r="E45" s="51">
        <v>0.19</v>
      </c>
      <c r="F45" s="51">
        <v>0.22</v>
      </c>
      <c r="G45" s="51">
        <v>0.21</v>
      </c>
      <c r="H45" s="51">
        <v>0.22</v>
      </c>
      <c r="I45" s="51">
        <v>0.2</v>
      </c>
      <c r="J45" s="51">
        <v>0.19</v>
      </c>
      <c r="K45" s="51">
        <v>0.2</v>
      </c>
      <c r="L45" s="51">
        <v>0.25</v>
      </c>
      <c r="M45" s="51">
        <v>0.12</v>
      </c>
      <c r="N45" s="51">
        <v>0.24</v>
      </c>
      <c r="O45" s="51">
        <v>0.15</v>
      </c>
      <c r="P45" s="51">
        <v>0.19</v>
      </c>
      <c r="Q45" s="51">
        <v>0.2</v>
      </c>
      <c r="R45" s="51">
        <v>0.22</v>
      </c>
      <c r="S45" s="42">
        <f>'UK National CR data 2023'!G42</f>
        <v>0.2</v>
      </c>
      <c r="T45" s="102"/>
    </row>
    <row r="46" spans="1:75" ht="18" customHeight="1" x14ac:dyDescent="0.3">
      <c r="B46" s="4" t="s">
        <v>54</v>
      </c>
      <c r="C46" s="73">
        <v>341</v>
      </c>
      <c r="D46" s="73">
        <v>446</v>
      </c>
      <c r="E46" s="73">
        <v>985</v>
      </c>
      <c r="F46" s="73">
        <v>219</v>
      </c>
      <c r="G46" s="73">
        <v>609</v>
      </c>
      <c r="H46" s="73">
        <v>645</v>
      </c>
      <c r="I46" s="73">
        <v>385</v>
      </c>
      <c r="J46" s="73">
        <v>486</v>
      </c>
      <c r="K46" s="73">
        <v>414</v>
      </c>
      <c r="L46" s="73">
        <v>162</v>
      </c>
      <c r="M46" s="73">
        <v>59</v>
      </c>
      <c r="N46" s="73">
        <v>61</v>
      </c>
      <c r="O46" s="73">
        <v>112</v>
      </c>
      <c r="P46" s="73">
        <v>234</v>
      </c>
      <c r="Q46" s="73">
        <v>60</v>
      </c>
      <c r="R46" s="73">
        <v>180</v>
      </c>
      <c r="S46" s="54">
        <v>5398.73</v>
      </c>
      <c r="T46" s="178"/>
    </row>
    <row r="47" spans="1:75" ht="17.5" customHeight="1" thickBot="1" x14ac:dyDescent="0.35">
      <c r="B47" s="6" t="s">
        <v>55</v>
      </c>
      <c r="C47" s="223">
        <f t="shared" ref="C47:S47" si="7">(C46/C21)^(1/5)-1</f>
        <v>6.0930127497381692E-2</v>
      </c>
      <c r="D47" s="223">
        <f t="shared" si="7"/>
        <v>4.1069729773058672E-2</v>
      </c>
      <c r="E47" s="223">
        <f t="shared" si="7"/>
        <v>3.7145712991961233E-2</v>
      </c>
      <c r="F47" s="223">
        <f t="shared" si="7"/>
        <v>5.4452368410198737E-2</v>
      </c>
      <c r="G47" s="223">
        <f t="shared" si="7"/>
        <v>2.4645133701282296E-2</v>
      </c>
      <c r="H47" s="223">
        <f t="shared" si="7"/>
        <v>2.8702628263282071E-2</v>
      </c>
      <c r="I47" s="223">
        <f t="shared" si="7"/>
        <v>1.6300200928794917E-2</v>
      </c>
      <c r="J47" s="223">
        <f t="shared" si="7"/>
        <v>5.1770187943215973E-2</v>
      </c>
      <c r="K47" s="223">
        <f t="shared" si="7"/>
        <v>3.6477188692748852E-2</v>
      </c>
      <c r="L47" s="223">
        <f t="shared" si="7"/>
        <v>1.4835621592574677E-2</v>
      </c>
      <c r="M47" s="223">
        <f t="shared" si="7"/>
        <v>7.1359305154845787E-2</v>
      </c>
      <c r="N47" s="223">
        <f t="shared" si="7"/>
        <v>5.2634420981531038E-2</v>
      </c>
      <c r="O47" s="223">
        <f t="shared" si="7"/>
        <v>4.5639552591273169E-2</v>
      </c>
      <c r="P47" s="223">
        <f t="shared" si="7"/>
        <v>2.7015932479917737E-2</v>
      </c>
      <c r="Q47" s="223">
        <f t="shared" si="7"/>
        <v>3.6309564986246157E-2</v>
      </c>
      <c r="R47" s="223">
        <f t="shared" si="7"/>
        <v>5.7040498893765612E-2</v>
      </c>
      <c r="S47" s="78">
        <f t="shared" si="7"/>
        <v>3.6839778692741243E-2</v>
      </c>
      <c r="T47" s="178"/>
    </row>
    <row r="48" spans="1:75" s="103" customFormat="1" ht="7.4" customHeight="1" thickTop="1" thickBot="1" x14ac:dyDescent="0.35">
      <c r="A48" s="102"/>
      <c r="B48" s="7"/>
      <c r="C48" s="35"/>
      <c r="D48" s="35"/>
      <c r="E48" s="35"/>
      <c r="F48" s="35"/>
      <c r="G48" s="102"/>
      <c r="H48" s="98"/>
      <c r="I48" s="102"/>
      <c r="J48" s="106"/>
      <c r="K48" s="106"/>
      <c r="L48" s="106"/>
      <c r="M48" s="106"/>
      <c r="N48" s="106"/>
      <c r="O48" s="106"/>
      <c r="P48" s="102"/>
      <c r="Q48" s="102"/>
      <c r="R48" s="102"/>
      <c r="S48" s="35"/>
      <c r="T48" s="102"/>
      <c r="U48" s="102"/>
      <c r="V48" s="102"/>
      <c r="W48" s="102"/>
      <c r="X48" s="102"/>
      <c r="Y48" s="102"/>
      <c r="Z48" s="102"/>
      <c r="AA48" s="102"/>
      <c r="AB48" s="102"/>
      <c r="AC48" s="102"/>
      <c r="AD48" s="102"/>
      <c r="AE48" s="102"/>
      <c r="AF48" s="102"/>
      <c r="AG48" s="102"/>
      <c r="AH48" s="102"/>
      <c r="AI48" s="102"/>
      <c r="AJ48" s="102"/>
      <c r="AK48" s="102"/>
      <c r="AL48" s="102"/>
      <c r="AM48" s="102"/>
      <c r="AN48" s="102"/>
      <c r="AO48" s="102"/>
      <c r="AP48" s="102"/>
      <c r="AQ48" s="102"/>
      <c r="AR48" s="102"/>
      <c r="AS48" s="102"/>
      <c r="AT48" s="102"/>
      <c r="AU48" s="102"/>
      <c r="AV48" s="102"/>
      <c r="AW48" s="102"/>
      <c r="AX48" s="102"/>
      <c r="AY48" s="102"/>
      <c r="AZ48" s="102"/>
      <c r="BA48" s="102"/>
      <c r="BB48" s="102"/>
      <c r="BC48" s="102"/>
      <c r="BD48" s="102"/>
      <c r="BE48" s="102"/>
      <c r="BF48" s="102"/>
      <c r="BG48" s="102"/>
      <c r="BH48" s="102"/>
      <c r="BI48" s="102"/>
      <c r="BJ48" s="102"/>
      <c r="BK48" s="102"/>
      <c r="BL48" s="102"/>
      <c r="BM48" s="102"/>
      <c r="BN48" s="102"/>
      <c r="BO48" s="102"/>
      <c r="BP48" s="102"/>
      <c r="BQ48" s="102"/>
      <c r="BR48" s="102"/>
      <c r="BS48" s="102"/>
      <c r="BT48" s="102"/>
      <c r="BU48" s="102"/>
      <c r="BV48" s="102"/>
      <c r="BW48" s="102"/>
    </row>
    <row r="49" spans="1:75" ht="14.5" thickTop="1" x14ac:dyDescent="0.3">
      <c r="B49" s="114" t="s">
        <v>28</v>
      </c>
      <c r="C49" s="119"/>
      <c r="D49" s="119"/>
      <c r="E49" s="119"/>
      <c r="F49" s="119"/>
      <c r="G49" s="119"/>
      <c r="H49" s="119"/>
      <c r="I49" s="119"/>
      <c r="J49" s="119"/>
      <c r="K49" s="119"/>
      <c r="L49" s="119"/>
      <c r="M49" s="119"/>
      <c r="N49" s="119"/>
      <c r="O49" s="119"/>
      <c r="P49" s="119"/>
      <c r="Q49" s="119"/>
      <c r="R49" s="119"/>
      <c r="S49" s="120"/>
      <c r="T49" s="102"/>
    </row>
    <row r="50" spans="1:75" x14ac:dyDescent="0.3">
      <c r="B50" s="10" t="s">
        <v>29</v>
      </c>
      <c r="C50" s="19">
        <v>4934939</v>
      </c>
      <c r="D50" s="19">
        <v>6398497</v>
      </c>
      <c r="E50" s="19">
        <v>8866180</v>
      </c>
      <c r="F50" s="19">
        <v>2683040</v>
      </c>
      <c r="G50" s="19">
        <v>7516113</v>
      </c>
      <c r="H50" s="19">
        <v>9379833</v>
      </c>
      <c r="I50" s="19">
        <v>5764881</v>
      </c>
      <c r="J50" s="19">
        <v>6021653</v>
      </c>
      <c r="K50" s="19">
        <v>5541262</v>
      </c>
      <c r="L50" s="19">
        <v>1910543</v>
      </c>
      <c r="M50" s="19">
        <v>785470</v>
      </c>
      <c r="N50" s="19">
        <v>950890</v>
      </c>
      <c r="O50" s="19">
        <v>1023010</v>
      </c>
      <c r="P50" s="19">
        <v>2688330</v>
      </c>
      <c r="Q50" s="19">
        <v>1073295</v>
      </c>
      <c r="R50" s="19">
        <v>1924454</v>
      </c>
      <c r="S50" s="43">
        <f>'UK National CR data 2023'!G47</f>
        <v>67596281</v>
      </c>
      <c r="T50" s="102"/>
    </row>
    <row r="51" spans="1:75" ht="28" customHeight="1" x14ac:dyDescent="0.3">
      <c r="B51" s="4" t="s">
        <v>102</v>
      </c>
      <c r="C51" s="17">
        <f>(C21+C25+C24)/(C50/100000)</f>
        <v>7.7346447443423312</v>
      </c>
      <c r="D51" s="17">
        <f t="shared" ref="D51:R51" si="8">(D21+D25+D24)/(D50/100000)</f>
        <v>8.7786241050046616</v>
      </c>
      <c r="E51" s="17">
        <f t="shared" si="8"/>
        <v>13.690225102580818</v>
      </c>
      <c r="F51" s="17">
        <f t="shared" si="8"/>
        <v>9.9513984137396374</v>
      </c>
      <c r="G51" s="17">
        <f t="shared" si="8"/>
        <v>10.34045124122003</v>
      </c>
      <c r="H51" s="17">
        <f t="shared" si="8"/>
        <v>8.4265892580390283</v>
      </c>
      <c r="I51" s="17">
        <f t="shared" si="8"/>
        <v>8.8484046765232449</v>
      </c>
      <c r="J51" s="17">
        <f t="shared" si="8"/>
        <v>9.1104552188576804</v>
      </c>
      <c r="K51" s="17">
        <f t="shared" si="8"/>
        <v>9.9092950306265983</v>
      </c>
      <c r="L51" s="17">
        <f t="shared" si="8"/>
        <v>10.494398712826669</v>
      </c>
      <c r="M51" s="17">
        <f t="shared" si="8"/>
        <v>7.6132761276687839</v>
      </c>
      <c r="N51" s="17">
        <f t="shared" si="8"/>
        <v>8.2238744754913817</v>
      </c>
      <c r="O51" s="17">
        <f t="shared" si="8"/>
        <v>13.2550023948935</v>
      </c>
      <c r="P51" s="17">
        <f t="shared" si="8"/>
        <v>11.189102528335436</v>
      </c>
      <c r="Q51" s="17">
        <f t="shared" si="8"/>
        <v>6.0747511168877146</v>
      </c>
      <c r="R51" s="17">
        <f t="shared" si="8"/>
        <v>12.128115299196551</v>
      </c>
      <c r="S51" s="94">
        <f>'UK National CR data 2023'!G48</f>
        <v>9.8835319061414051</v>
      </c>
      <c r="T51" s="102"/>
    </row>
    <row r="52" spans="1:75" ht="14.5" thickBot="1" x14ac:dyDescent="0.35">
      <c r="B52" s="6" t="s">
        <v>30</v>
      </c>
      <c r="C52" s="20">
        <f>C22/(C50/1000000)</f>
        <v>8.1662610216661236</v>
      </c>
      <c r="D52" s="20">
        <f t="shared" ref="D52:R52" si="9">D22/(D50/1000000)</f>
        <v>8.2363092457494318</v>
      </c>
      <c r="E52" s="20">
        <f t="shared" si="9"/>
        <v>17.053567601830775</v>
      </c>
      <c r="F52" s="20">
        <f t="shared" si="9"/>
        <v>9.6532291728785253</v>
      </c>
      <c r="G52" s="20">
        <f t="shared" si="9"/>
        <v>13.65067289435377</v>
      </c>
      <c r="H52" s="20">
        <f t="shared" si="9"/>
        <v>11.876544070667357</v>
      </c>
      <c r="I52" s="20">
        <f t="shared" si="9"/>
        <v>11.743520811617795</v>
      </c>
      <c r="J52" s="20">
        <f t="shared" si="9"/>
        <v>10.246355942462976</v>
      </c>
      <c r="K52" s="20">
        <f t="shared" si="9"/>
        <v>12.993430016483611</v>
      </c>
      <c r="L52" s="20">
        <f t="shared" si="9"/>
        <v>12.038462363841065</v>
      </c>
      <c r="M52" s="20">
        <f t="shared" si="9"/>
        <v>9.8030478566972636</v>
      </c>
      <c r="N52" s="20">
        <f t="shared" si="9"/>
        <v>2.1032927047292538</v>
      </c>
      <c r="O52" s="20">
        <f t="shared" si="9"/>
        <v>12.707598166195835</v>
      </c>
      <c r="P52" s="20">
        <f t="shared" si="9"/>
        <v>10.861761762878812</v>
      </c>
      <c r="Q52" s="20">
        <f t="shared" si="9"/>
        <v>9.1307608812115966</v>
      </c>
      <c r="R52" s="20">
        <f t="shared" si="9"/>
        <v>8.7297488014782374</v>
      </c>
      <c r="S52" s="76">
        <f>'UK National CR data 2023'!G49</f>
        <v>11.641172981099359</v>
      </c>
      <c r="T52" s="102"/>
    </row>
    <row r="53" spans="1:75" s="103" customFormat="1" ht="7.4" customHeight="1" thickTop="1" thickBot="1" x14ac:dyDescent="0.35">
      <c r="A53" s="102"/>
      <c r="B53" s="7"/>
      <c r="C53" s="35"/>
      <c r="D53" s="35"/>
      <c r="E53" s="35"/>
      <c r="F53" s="35"/>
      <c r="G53" s="172"/>
      <c r="H53" s="104"/>
      <c r="I53" s="102"/>
      <c r="J53" s="102"/>
      <c r="K53" s="102"/>
      <c r="L53" s="102"/>
      <c r="M53" s="102"/>
      <c r="N53" s="102"/>
      <c r="O53" s="102"/>
      <c r="P53" s="102"/>
      <c r="Q53" s="102"/>
      <c r="R53" s="102"/>
      <c r="S53" s="35"/>
      <c r="T53" s="102"/>
      <c r="U53" s="102"/>
      <c r="V53" s="102"/>
      <c r="W53" s="102"/>
      <c r="X53" s="102"/>
      <c r="Y53" s="102"/>
      <c r="Z53" s="102"/>
      <c r="AA53" s="102"/>
      <c r="AB53" s="102"/>
      <c r="AC53" s="102"/>
      <c r="AD53" s="102"/>
      <c r="AE53" s="102"/>
      <c r="AF53" s="102"/>
      <c r="AG53" s="102"/>
      <c r="AH53" s="102"/>
      <c r="AI53" s="102"/>
      <c r="AJ53" s="102"/>
      <c r="AK53" s="102"/>
      <c r="AL53" s="102"/>
      <c r="AM53" s="102"/>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02"/>
      <c r="BR53" s="102"/>
      <c r="BS53" s="102"/>
      <c r="BT53" s="102"/>
      <c r="BU53" s="102"/>
      <c r="BV53" s="102"/>
      <c r="BW53" s="102"/>
    </row>
    <row r="54" spans="1:75" ht="14.5" thickTop="1" x14ac:dyDescent="0.3">
      <c r="B54" s="139" t="s">
        <v>58</v>
      </c>
      <c r="C54" s="140"/>
      <c r="D54" s="140"/>
      <c r="E54" s="140"/>
      <c r="F54" s="140"/>
      <c r="G54" s="140"/>
      <c r="H54" s="140"/>
      <c r="I54" s="140"/>
      <c r="J54" s="140"/>
      <c r="K54" s="140"/>
      <c r="L54" s="140"/>
      <c r="M54" s="140"/>
      <c r="N54" s="140"/>
      <c r="O54" s="140"/>
      <c r="P54" s="140"/>
      <c r="Q54" s="140"/>
      <c r="R54" s="140"/>
      <c r="S54" s="141"/>
      <c r="T54" s="102"/>
    </row>
    <row r="55" spans="1:75" s="106" customFormat="1" x14ac:dyDescent="0.3">
      <c r="B55" s="13" t="s">
        <v>31</v>
      </c>
      <c r="C55" s="68">
        <v>9080230</v>
      </c>
      <c r="D55" s="68">
        <v>13810534.779999999</v>
      </c>
      <c r="E55" s="68">
        <v>24411886</v>
      </c>
      <c r="F55" s="68">
        <v>8070123.5199999996</v>
      </c>
      <c r="G55" s="68">
        <v>28837797</v>
      </c>
      <c r="H55" s="68">
        <v>26879425.75</v>
      </c>
      <c r="I55" s="68">
        <v>13628434</v>
      </c>
      <c r="J55" s="68">
        <v>13607186</v>
      </c>
      <c r="K55" s="68">
        <v>13110780.5</v>
      </c>
      <c r="L55" s="68">
        <v>5225247.4000000004</v>
      </c>
      <c r="M55" s="68">
        <v>1713294.88</v>
      </c>
      <c r="N55" s="68">
        <v>2352119</v>
      </c>
      <c r="O55" s="68">
        <v>200000</v>
      </c>
      <c r="P55" s="68">
        <v>7395402.2800000003</v>
      </c>
      <c r="Q55" s="68">
        <v>2629710</v>
      </c>
      <c r="R55" s="68">
        <v>3296008</v>
      </c>
      <c r="S55" s="70">
        <f>'UK National CR data 2023'!G52</f>
        <v>174248179.11000001</v>
      </c>
      <c r="T55" s="177"/>
    </row>
    <row r="56" spans="1:75" s="106" customFormat="1" x14ac:dyDescent="0.3">
      <c r="B56" s="4" t="s">
        <v>32</v>
      </c>
      <c r="C56" s="68">
        <v>4172709</v>
      </c>
      <c r="D56" s="68">
        <v>4765835.4000000004</v>
      </c>
      <c r="E56" s="68">
        <v>9394318</v>
      </c>
      <c r="F56" s="68">
        <v>2282158.4700000002</v>
      </c>
      <c r="G56" s="68">
        <v>12812392</v>
      </c>
      <c r="H56" s="68">
        <v>10048664.369999999</v>
      </c>
      <c r="I56" s="68">
        <v>4896827</v>
      </c>
      <c r="J56" s="68">
        <v>8041967.29</v>
      </c>
      <c r="K56" s="68">
        <v>5561689</v>
      </c>
      <c r="L56" s="68">
        <v>3147336</v>
      </c>
      <c r="M56" s="68">
        <v>795962</v>
      </c>
      <c r="N56" s="68">
        <v>732362</v>
      </c>
      <c r="O56" s="68">
        <v>395962</v>
      </c>
      <c r="P56" s="68">
        <v>2850410.72</v>
      </c>
      <c r="Q56" s="68">
        <v>1823947</v>
      </c>
      <c r="R56" s="68">
        <v>2148199</v>
      </c>
      <c r="S56" s="70">
        <f>'UK National CR data 2023'!G53</f>
        <v>73870739.25</v>
      </c>
      <c r="T56" s="177"/>
    </row>
    <row r="57" spans="1:75" s="106" customFormat="1" x14ac:dyDescent="0.3">
      <c r="B57" s="21" t="s">
        <v>33</v>
      </c>
      <c r="C57" s="68">
        <v>1220000</v>
      </c>
      <c r="D57" s="68">
        <v>845589</v>
      </c>
      <c r="E57" s="68">
        <v>3168805</v>
      </c>
      <c r="F57" s="68">
        <v>2400000</v>
      </c>
      <c r="G57" s="68">
        <v>6979659</v>
      </c>
      <c r="H57" s="68">
        <v>4506001</v>
      </c>
      <c r="I57" s="68">
        <v>550000</v>
      </c>
      <c r="J57" s="68">
        <v>955884</v>
      </c>
      <c r="K57" s="68">
        <v>2044900</v>
      </c>
      <c r="L57" s="68">
        <v>740000</v>
      </c>
      <c r="M57" s="68">
        <v>360000</v>
      </c>
      <c r="N57" s="68">
        <v>200000</v>
      </c>
      <c r="O57" s="68">
        <v>200000</v>
      </c>
      <c r="P57" s="68">
        <v>1828383.03</v>
      </c>
      <c r="Q57" s="68">
        <v>60000</v>
      </c>
      <c r="R57" s="68">
        <v>1471957.25</v>
      </c>
      <c r="S57" s="70">
        <f>'UK National CR data 2023'!G54</f>
        <v>27531178.280000001</v>
      </c>
      <c r="T57" s="177"/>
    </row>
    <row r="58" spans="1:75" s="106" customFormat="1" ht="14.5" thickBot="1" x14ac:dyDescent="0.35">
      <c r="B58" s="22" t="s">
        <v>34</v>
      </c>
      <c r="C58" s="71">
        <f>SUM(C55:C57)</f>
        <v>14472939</v>
      </c>
      <c r="D58" s="71">
        <f t="shared" ref="D58:R58" si="10">SUM(D55:D57)</f>
        <v>19421959.18</v>
      </c>
      <c r="E58" s="71">
        <f t="shared" si="10"/>
        <v>36975009</v>
      </c>
      <c r="F58" s="71">
        <f t="shared" si="10"/>
        <v>12752281.99</v>
      </c>
      <c r="G58" s="71">
        <f t="shared" si="10"/>
        <v>48629848</v>
      </c>
      <c r="H58" s="71">
        <f t="shared" si="10"/>
        <v>41434091.119999997</v>
      </c>
      <c r="I58" s="71">
        <f t="shared" si="10"/>
        <v>19075261</v>
      </c>
      <c r="J58" s="71">
        <f t="shared" si="10"/>
        <v>22605037.289999999</v>
      </c>
      <c r="K58" s="71">
        <f t="shared" si="10"/>
        <v>20717369.5</v>
      </c>
      <c r="L58" s="71">
        <f t="shared" si="10"/>
        <v>9112583.4000000004</v>
      </c>
      <c r="M58" s="71">
        <f t="shared" si="10"/>
        <v>2869256.88</v>
      </c>
      <c r="N58" s="71">
        <f t="shared" si="10"/>
        <v>3284481</v>
      </c>
      <c r="O58" s="71">
        <f t="shared" si="10"/>
        <v>795962</v>
      </c>
      <c r="P58" s="71">
        <f t="shared" si="10"/>
        <v>12074196.029999999</v>
      </c>
      <c r="Q58" s="71">
        <f t="shared" si="10"/>
        <v>4513657</v>
      </c>
      <c r="R58" s="71">
        <f t="shared" si="10"/>
        <v>6916164.25</v>
      </c>
      <c r="S58" s="83">
        <f>'UK National CR data 2023'!G55</f>
        <v>275650096.63999999</v>
      </c>
      <c r="T58" s="177"/>
    </row>
    <row r="59" spans="1:75" s="106" customFormat="1" ht="19" customHeight="1" x14ac:dyDescent="0.3">
      <c r="B59" s="4" t="s">
        <v>66</v>
      </c>
      <c r="C59" s="67">
        <f>C58/C50</f>
        <v>2.932749320710955</v>
      </c>
      <c r="D59" s="67">
        <f t="shared" ref="D59:R59" si="11">D58/D50</f>
        <v>3.0353939651765094</v>
      </c>
      <c r="E59" s="67">
        <f t="shared" si="11"/>
        <v>4.1703426955013319</v>
      </c>
      <c r="F59" s="67">
        <f t="shared" si="11"/>
        <v>4.7529228002564254</v>
      </c>
      <c r="G59" s="67">
        <f t="shared" si="11"/>
        <v>6.4700794147187519</v>
      </c>
      <c r="H59" s="67">
        <f t="shared" si="11"/>
        <v>4.4173591491447661</v>
      </c>
      <c r="I59" s="67">
        <f t="shared" si="11"/>
        <v>3.3088733314703287</v>
      </c>
      <c r="J59" s="67">
        <f t="shared" si="11"/>
        <v>3.7539588033385516</v>
      </c>
      <c r="K59" s="67">
        <f t="shared" si="11"/>
        <v>3.7387457044983616</v>
      </c>
      <c r="L59" s="67">
        <f t="shared" si="11"/>
        <v>4.7696300999244716</v>
      </c>
      <c r="M59" s="67">
        <f t="shared" si="11"/>
        <v>3.6529172088049191</v>
      </c>
      <c r="N59" s="67">
        <f t="shared" si="11"/>
        <v>3.4541124630609219</v>
      </c>
      <c r="O59" s="67">
        <f t="shared" si="11"/>
        <v>0.77805886550473602</v>
      </c>
      <c r="P59" s="67">
        <f t="shared" si="11"/>
        <v>4.491337012197163</v>
      </c>
      <c r="Q59" s="67">
        <f t="shared" si="11"/>
        <v>4.2054206904904987</v>
      </c>
      <c r="R59" s="67">
        <f t="shared" si="11"/>
        <v>3.5938319388252462</v>
      </c>
      <c r="S59" s="72">
        <f>'UK National CR data 2023'!G56</f>
        <v>4.0778884956703463</v>
      </c>
      <c r="T59" s="177"/>
    </row>
    <row r="60" spans="1:75" s="106" customFormat="1" ht="14.5" thickBot="1" x14ac:dyDescent="0.35">
      <c r="B60" s="6" t="s">
        <v>67</v>
      </c>
      <c r="C60" s="66">
        <f>C56/C21</f>
        <v>16447.414268821445</v>
      </c>
      <c r="D60" s="66">
        <f t="shared" ref="D60:R60" si="12">D56/D21</f>
        <v>13067.823964902662</v>
      </c>
      <c r="E60" s="66">
        <f t="shared" si="12"/>
        <v>11445.319200779728</v>
      </c>
      <c r="F60" s="66">
        <f t="shared" si="12"/>
        <v>13584.276607142858</v>
      </c>
      <c r="G60" s="66">
        <f t="shared" si="12"/>
        <v>23761.854599406528</v>
      </c>
      <c r="H60" s="66">
        <f t="shared" si="12"/>
        <v>17947.248383639933</v>
      </c>
      <c r="I60" s="66">
        <f t="shared" si="12"/>
        <v>13789.994367783722</v>
      </c>
      <c r="J60" s="66">
        <f t="shared" si="12"/>
        <v>21297.582865466102</v>
      </c>
      <c r="K60" s="66">
        <f t="shared" si="12"/>
        <v>16069.601271308869</v>
      </c>
      <c r="L60" s="66">
        <f t="shared" si="12"/>
        <v>20912.531561461794</v>
      </c>
      <c r="M60" s="66">
        <f t="shared" si="12"/>
        <v>19042.15311004785</v>
      </c>
      <c r="N60" s="66">
        <f t="shared" si="12"/>
        <v>15516.144067796609</v>
      </c>
      <c r="O60" s="66">
        <f t="shared" si="12"/>
        <v>4419.21875</v>
      </c>
      <c r="P60" s="66">
        <f t="shared" si="12"/>
        <v>13918.02109375</v>
      </c>
      <c r="Q60" s="66">
        <f t="shared" si="12"/>
        <v>36333.605577689239</v>
      </c>
      <c r="R60" s="66">
        <f t="shared" si="12"/>
        <v>15749.259530791789</v>
      </c>
      <c r="S60" s="79">
        <f>'UK National CR data 2023'!G57</f>
        <v>16396.044579837526</v>
      </c>
      <c r="T60" s="177"/>
    </row>
    <row r="61" spans="1:75" x14ac:dyDescent="0.3">
      <c r="I61" s="138"/>
      <c r="J61" s="107"/>
      <c r="T61" s="102"/>
    </row>
    <row r="62" spans="1:75" ht="13.4" customHeight="1" x14ac:dyDescent="0.3">
      <c r="B62" s="229" t="s">
        <v>65</v>
      </c>
      <c r="C62" s="229"/>
      <c r="D62" s="229"/>
      <c r="E62" s="229"/>
      <c r="F62" s="99"/>
      <c r="G62" s="99"/>
      <c r="H62" s="99"/>
      <c r="I62" s="99"/>
      <c r="J62" s="99"/>
      <c r="K62" s="99"/>
      <c r="L62" s="99"/>
      <c r="M62" s="99"/>
      <c r="N62" s="99"/>
      <c r="O62" s="99"/>
      <c r="P62" s="99"/>
      <c r="Q62" s="99"/>
      <c r="R62" s="99"/>
      <c r="S62" s="99"/>
      <c r="T62" s="102"/>
    </row>
    <row r="63" spans="1:75" ht="13.4" customHeight="1" x14ac:dyDescent="0.3">
      <c r="B63" s="230"/>
      <c r="C63" s="230"/>
      <c r="D63" s="230"/>
      <c r="E63" s="230"/>
      <c r="F63" s="99"/>
      <c r="G63" s="99"/>
      <c r="H63" s="99"/>
      <c r="I63" s="99"/>
      <c r="J63" s="99"/>
      <c r="K63" s="99"/>
      <c r="L63" s="99"/>
      <c r="M63" s="99"/>
      <c r="N63" s="99"/>
      <c r="O63" s="99"/>
      <c r="P63" s="99"/>
      <c r="Q63" s="99"/>
      <c r="R63" s="99"/>
      <c r="S63" s="99"/>
      <c r="T63" s="102"/>
    </row>
    <row r="64" spans="1:75" ht="18.5" customHeight="1" thickBot="1" x14ac:dyDescent="0.35">
      <c r="B64" s="206" t="s">
        <v>0</v>
      </c>
      <c r="T64" s="102"/>
    </row>
    <row r="65" spans="2:20" ht="27.75" customHeight="1" thickBot="1" x14ac:dyDescent="0.35">
      <c r="B65" s="23"/>
      <c r="C65" s="239" t="s">
        <v>2</v>
      </c>
      <c r="D65" s="240"/>
      <c r="E65" s="240"/>
      <c r="F65" s="240"/>
      <c r="G65" s="240"/>
      <c r="H65" s="240"/>
      <c r="I65" s="240"/>
      <c r="J65" s="240"/>
      <c r="K65" s="241"/>
      <c r="L65" s="88" t="s">
        <v>125</v>
      </c>
      <c r="M65" s="242" t="s">
        <v>4</v>
      </c>
      <c r="N65" s="243"/>
      <c r="O65" s="243"/>
      <c r="P65" s="244"/>
      <c r="Q65" s="245" t="s">
        <v>5</v>
      </c>
      <c r="R65" s="241"/>
      <c r="S65" s="89" t="s">
        <v>6</v>
      </c>
      <c r="T65" s="102"/>
    </row>
    <row r="66" spans="2:20" ht="26.5" thickBot="1" x14ac:dyDescent="0.35">
      <c r="B66" s="88" t="s">
        <v>52</v>
      </c>
      <c r="C66" s="88" t="s">
        <v>107</v>
      </c>
      <c r="D66" s="88" t="s">
        <v>108</v>
      </c>
      <c r="E66" s="88" t="s">
        <v>109</v>
      </c>
      <c r="F66" s="88" t="s">
        <v>110</v>
      </c>
      <c r="G66" s="89" t="s">
        <v>111</v>
      </c>
      <c r="H66" s="89" t="s">
        <v>112</v>
      </c>
      <c r="I66" s="89" t="s">
        <v>113</v>
      </c>
      <c r="J66" s="89" t="s">
        <v>114</v>
      </c>
      <c r="K66" s="88" t="s">
        <v>115</v>
      </c>
      <c r="L66" s="165" t="s">
        <v>124</v>
      </c>
      <c r="M66" s="165" t="s">
        <v>116</v>
      </c>
      <c r="N66" s="166" t="s">
        <v>117</v>
      </c>
      <c r="O66" s="166" t="s">
        <v>118</v>
      </c>
      <c r="P66" s="167" t="s">
        <v>119</v>
      </c>
      <c r="Q66" s="164" t="s">
        <v>122</v>
      </c>
      <c r="R66" s="89" t="s">
        <v>120</v>
      </c>
      <c r="S66" s="89" t="s">
        <v>121</v>
      </c>
      <c r="T66" s="102"/>
    </row>
    <row r="67" spans="2:20" x14ac:dyDescent="0.3">
      <c r="B67" s="121" t="s">
        <v>35</v>
      </c>
      <c r="C67" s="122"/>
      <c r="D67" s="122"/>
      <c r="E67" s="122"/>
      <c r="F67" s="122"/>
      <c r="G67" s="122"/>
      <c r="H67" s="122"/>
      <c r="I67" s="122"/>
      <c r="J67" s="122"/>
      <c r="K67" s="122"/>
      <c r="L67" s="122"/>
      <c r="M67" s="122"/>
      <c r="N67" s="122"/>
      <c r="O67" s="122"/>
      <c r="P67" s="122"/>
      <c r="Q67" s="122"/>
      <c r="R67" s="122"/>
      <c r="S67" s="123"/>
      <c r="T67" s="102"/>
    </row>
    <row r="68" spans="2:20" x14ac:dyDescent="0.3">
      <c r="B68" s="24" t="s">
        <v>36</v>
      </c>
      <c r="C68" s="25"/>
      <c r="D68" s="26"/>
      <c r="E68" s="26"/>
      <c r="F68" s="26"/>
      <c r="G68" s="26"/>
      <c r="H68" s="26"/>
      <c r="I68" s="26"/>
      <c r="J68" s="26"/>
      <c r="K68" s="26"/>
      <c r="L68" s="26"/>
      <c r="M68" s="26"/>
      <c r="N68" s="26"/>
      <c r="O68" s="26"/>
      <c r="P68" s="26"/>
      <c r="Q68" s="26"/>
      <c r="R68" s="26"/>
      <c r="S68" s="44"/>
      <c r="T68" s="102"/>
    </row>
    <row r="69" spans="2:20" ht="38.5" x14ac:dyDescent="0.3">
      <c r="B69" s="3" t="s">
        <v>343</v>
      </c>
      <c r="C69" s="56">
        <v>20</v>
      </c>
      <c r="D69" s="56">
        <v>21</v>
      </c>
      <c r="E69" s="56">
        <v>27.5</v>
      </c>
      <c r="F69" s="56">
        <v>13</v>
      </c>
      <c r="G69" s="56">
        <v>46</v>
      </c>
      <c r="H69" s="56">
        <v>30.1</v>
      </c>
      <c r="I69" s="56">
        <v>15.4</v>
      </c>
      <c r="J69" s="56">
        <v>29</v>
      </c>
      <c r="K69" s="56">
        <v>36.5</v>
      </c>
      <c r="L69" s="56">
        <v>8</v>
      </c>
      <c r="M69" s="56">
        <v>0</v>
      </c>
      <c r="N69" s="56">
        <v>7</v>
      </c>
      <c r="O69" s="56">
        <v>0</v>
      </c>
      <c r="P69" s="56">
        <v>9</v>
      </c>
      <c r="Q69" s="56">
        <v>9</v>
      </c>
      <c r="R69" s="56">
        <v>20</v>
      </c>
      <c r="S69" s="58">
        <f>'UK National CR data 2023'!G66</f>
        <v>291.5</v>
      </c>
      <c r="T69" s="102"/>
    </row>
    <row r="70" spans="2:20" x14ac:dyDescent="0.3">
      <c r="B70" s="27" t="s">
        <v>37</v>
      </c>
      <c r="C70" s="75">
        <f>C69/(C69+C22)</f>
        <v>0.33167495854063017</v>
      </c>
      <c r="D70" s="75">
        <f t="shared" ref="D70:R70" si="13">D69/(D69+D22)</f>
        <v>0.28493894165535955</v>
      </c>
      <c r="E70" s="75">
        <f t="shared" si="13"/>
        <v>0.15388919977616117</v>
      </c>
      <c r="F70" s="75">
        <f t="shared" si="13"/>
        <v>0.33419023136246789</v>
      </c>
      <c r="G70" s="75">
        <f t="shared" si="13"/>
        <v>0.30955585464333785</v>
      </c>
      <c r="H70" s="75">
        <f t="shared" si="13"/>
        <v>0.21272084805653713</v>
      </c>
      <c r="I70" s="75">
        <f t="shared" si="13"/>
        <v>0.18531889290012032</v>
      </c>
      <c r="J70" s="75">
        <f t="shared" si="13"/>
        <v>0.3197353914002205</v>
      </c>
      <c r="K70" s="75">
        <f t="shared" si="13"/>
        <v>0.33640552995391704</v>
      </c>
      <c r="L70" s="75">
        <f t="shared" si="13"/>
        <v>0.25806451612903225</v>
      </c>
      <c r="M70" s="75">
        <f t="shared" si="13"/>
        <v>0</v>
      </c>
      <c r="N70" s="75">
        <f t="shared" si="13"/>
        <v>0.77777777777777779</v>
      </c>
      <c r="O70" s="75">
        <f t="shared" si="13"/>
        <v>0</v>
      </c>
      <c r="P70" s="75">
        <f t="shared" si="13"/>
        <v>0.23560209424083767</v>
      </c>
      <c r="Q70" s="75">
        <f t="shared" si="13"/>
        <v>0.47872340425531912</v>
      </c>
      <c r="R70" s="75">
        <f t="shared" si="13"/>
        <v>0.5434782608695653</v>
      </c>
      <c r="S70" s="59">
        <f>'UK National CR data 2023'!G67</f>
        <v>0.27030786350148367</v>
      </c>
      <c r="T70" s="102"/>
    </row>
    <row r="71" spans="2:20" ht="25.5" x14ac:dyDescent="0.3">
      <c r="B71" s="3" t="s">
        <v>340</v>
      </c>
      <c r="C71" s="188">
        <f t="shared" ref="C71" si="14">C90</f>
        <v>90.721656250000052</v>
      </c>
      <c r="D71" s="188">
        <f>D90</f>
        <v>145.56379375000003</v>
      </c>
      <c r="E71" s="188">
        <f t="shared" ref="E71:K71" si="15">E90</f>
        <v>28.941456250000048</v>
      </c>
      <c r="F71" s="188">
        <f t="shared" si="15"/>
        <v>90.545424999999994</v>
      </c>
      <c r="G71" s="188">
        <f t="shared" si="15"/>
        <v>129.29700000000005</v>
      </c>
      <c r="H71" s="188">
        <f t="shared" si="15"/>
        <v>217.89036874999991</v>
      </c>
      <c r="I71" s="188">
        <f t="shared" si="15"/>
        <v>125.04907499999997</v>
      </c>
      <c r="J71" s="188">
        <f t="shared" si="15"/>
        <v>186.27990624999987</v>
      </c>
      <c r="K71" s="188">
        <f t="shared" si="15"/>
        <v>144.33121249999999</v>
      </c>
      <c r="L71" s="216"/>
      <c r="M71" s="48" t="s">
        <v>129</v>
      </c>
      <c r="N71" s="48" t="s">
        <v>129</v>
      </c>
      <c r="O71" s="48" t="s">
        <v>129</v>
      </c>
      <c r="P71" s="48" t="s">
        <v>129</v>
      </c>
      <c r="Q71" s="48" t="s">
        <v>129</v>
      </c>
      <c r="R71" s="48" t="s">
        <v>129</v>
      </c>
      <c r="S71" s="50">
        <f>C71*(S50/C50)</f>
        <v>1242.6590417146817</v>
      </c>
    </row>
    <row r="72" spans="2:20" ht="14.5" thickBot="1" x14ac:dyDescent="0.35">
      <c r="B72" s="28" t="s">
        <v>38</v>
      </c>
      <c r="C72" s="60">
        <f>C71+C69</f>
        <v>110.72165625000005</v>
      </c>
      <c r="D72" s="60">
        <f t="shared" ref="D72:L72" si="16">D71+D69</f>
        <v>166.56379375000003</v>
      </c>
      <c r="E72" s="60">
        <f t="shared" si="16"/>
        <v>56.441456250000044</v>
      </c>
      <c r="F72" s="60">
        <f t="shared" si="16"/>
        <v>103.54542499999999</v>
      </c>
      <c r="G72" s="60">
        <f t="shared" si="16"/>
        <v>175.29700000000005</v>
      </c>
      <c r="H72" s="60">
        <f t="shared" si="16"/>
        <v>247.9903687499999</v>
      </c>
      <c r="I72" s="60">
        <f t="shared" si="16"/>
        <v>140.44907499999997</v>
      </c>
      <c r="J72" s="60">
        <f t="shared" si="16"/>
        <v>215.27990624999987</v>
      </c>
      <c r="K72" s="60">
        <f t="shared" si="16"/>
        <v>180.83121249999999</v>
      </c>
      <c r="L72" s="60">
        <f t="shared" si="16"/>
        <v>8</v>
      </c>
      <c r="M72" s="189" t="s">
        <v>129</v>
      </c>
      <c r="N72" s="190" t="s">
        <v>129</v>
      </c>
      <c r="O72" s="190" t="s">
        <v>129</v>
      </c>
      <c r="P72" s="190" t="s">
        <v>129</v>
      </c>
      <c r="Q72" s="189" t="s">
        <v>129</v>
      </c>
      <c r="R72" s="189" t="s">
        <v>129</v>
      </c>
      <c r="S72" s="61">
        <f>'UK National CR data 2023'!G69</f>
        <v>1727.2345922388999</v>
      </c>
    </row>
    <row r="73" spans="2:20" x14ac:dyDescent="0.3">
      <c r="B73" s="24" t="s">
        <v>39</v>
      </c>
      <c r="C73" s="25"/>
      <c r="D73" s="26"/>
      <c r="E73" s="26"/>
      <c r="F73" s="26"/>
      <c r="G73" s="217"/>
      <c r="H73" s="26"/>
      <c r="I73" s="26"/>
      <c r="J73" s="26"/>
      <c r="K73" s="26"/>
      <c r="L73" s="26"/>
      <c r="M73" s="26"/>
      <c r="N73" s="26"/>
      <c r="O73" s="26"/>
      <c r="P73" s="26"/>
      <c r="Q73" s="26"/>
      <c r="R73" s="26"/>
      <c r="S73" s="44"/>
      <c r="T73" s="102"/>
    </row>
    <row r="74" spans="2:20" ht="25.5" thickBot="1" x14ac:dyDescent="0.35">
      <c r="B74" s="3" t="s">
        <v>40</v>
      </c>
      <c r="C74" s="30">
        <f>((12.8*(C50/100000))-C21-C25)*0.7</f>
        <v>179.88053439999999</v>
      </c>
      <c r="D74" s="30">
        <f>((12.8*(D50/100000))-D21-D25)*0.7</f>
        <v>189.21533119999998</v>
      </c>
      <c r="E74" s="30">
        <v>0</v>
      </c>
      <c r="F74" s="30">
        <f t="shared" ref="F74:R74" si="17">((12.8*(F50/100000))-F21-F25)*0.7</f>
        <v>55.600384000000005</v>
      </c>
      <c r="G74" s="30">
        <f t="shared" si="17"/>
        <v>140.60372480000001</v>
      </c>
      <c r="H74" s="30">
        <f t="shared" si="17"/>
        <v>302.90303680000011</v>
      </c>
      <c r="I74" s="30">
        <f t="shared" si="17"/>
        <v>167.86333759999997</v>
      </c>
      <c r="J74" s="30">
        <f t="shared" si="17"/>
        <v>158.32010880000001</v>
      </c>
      <c r="K74" s="30">
        <f t="shared" si="17"/>
        <v>118.42707519999995</v>
      </c>
      <c r="L74" s="30">
        <f t="shared" si="17"/>
        <v>31.534652799999986</v>
      </c>
      <c r="M74" s="30">
        <f t="shared" si="17"/>
        <v>28.518112000000009</v>
      </c>
      <c r="N74" s="30">
        <f t="shared" si="17"/>
        <v>31.859744000000006</v>
      </c>
      <c r="O74" s="30">
        <v>0</v>
      </c>
      <c r="P74" s="30">
        <f t="shared" si="17"/>
        <v>31.014368000000001</v>
      </c>
      <c r="Q74" s="30">
        <f t="shared" si="17"/>
        <v>52.627232000000006</v>
      </c>
      <c r="R74" s="30">
        <f t="shared" si="17"/>
        <v>11.851078400000006</v>
      </c>
      <c r="S74" s="45">
        <f>'UK National CR data 2023'!G71</f>
        <v>1468.5467776</v>
      </c>
      <c r="T74" s="102"/>
    </row>
    <row r="75" spans="2:20" x14ac:dyDescent="0.3">
      <c r="B75" s="31" t="s">
        <v>41</v>
      </c>
      <c r="C75" s="32"/>
      <c r="D75" s="33"/>
      <c r="E75" s="33"/>
      <c r="F75" s="33"/>
      <c r="G75" s="33"/>
      <c r="H75" s="33"/>
      <c r="I75" s="33"/>
      <c r="J75" s="33"/>
      <c r="K75" s="33"/>
      <c r="L75" s="33"/>
      <c r="M75" s="33"/>
      <c r="N75" s="33"/>
      <c r="O75" s="33"/>
      <c r="P75" s="33"/>
      <c r="Q75" s="33"/>
      <c r="R75" s="33"/>
      <c r="S75" s="46"/>
      <c r="T75" s="102"/>
    </row>
    <row r="76" spans="2:20" ht="25.5" thickBot="1" x14ac:dyDescent="0.35">
      <c r="B76" s="34" t="s">
        <v>341</v>
      </c>
      <c r="C76" s="29">
        <f>C58/C80</f>
        <v>141.24763577807056</v>
      </c>
      <c r="D76" s="29">
        <f t="shared" ref="D76:R76" si="18">D58/D80</f>
        <v>189.54725203728103</v>
      </c>
      <c r="E76" s="29">
        <f t="shared" si="18"/>
        <v>360.85501390718781</v>
      </c>
      <c r="F76" s="29">
        <f t="shared" si="18"/>
        <v>124.45500405016347</v>
      </c>
      <c r="G76" s="29">
        <f t="shared" si="18"/>
        <v>474.59959986336798</v>
      </c>
      <c r="H76" s="29">
        <f t="shared" si="18"/>
        <v>404.37311394134582</v>
      </c>
      <c r="I76" s="29">
        <f t="shared" si="18"/>
        <v>186.16367540135656</v>
      </c>
      <c r="J76" s="29">
        <f t="shared" si="18"/>
        <v>220.6122801932367</v>
      </c>
      <c r="K76" s="29">
        <f t="shared" si="18"/>
        <v>202.18971844044307</v>
      </c>
      <c r="L76" s="29">
        <f t="shared" si="18"/>
        <v>88.933620260576788</v>
      </c>
      <c r="M76" s="29">
        <f t="shared" si="18"/>
        <v>28.002311813790072</v>
      </c>
      <c r="N76" s="29">
        <f t="shared" si="18"/>
        <v>32.054662567706046</v>
      </c>
      <c r="O76" s="29">
        <f t="shared" si="18"/>
        <v>7.7681354608890842</v>
      </c>
      <c r="P76" s="29">
        <f t="shared" si="18"/>
        <v>117.83727155614112</v>
      </c>
      <c r="Q76" s="29">
        <f t="shared" si="18"/>
        <v>44.050719757966135</v>
      </c>
      <c r="R76" s="29">
        <f t="shared" si="18"/>
        <v>67.4978212072415</v>
      </c>
      <c r="S76" s="45">
        <f>'UK National CR data 2023'!G73</f>
        <v>2690.1878362367638</v>
      </c>
      <c r="T76" s="102"/>
    </row>
    <row r="77" spans="2:20" ht="26" x14ac:dyDescent="0.3">
      <c r="B77" s="31" t="s">
        <v>344</v>
      </c>
      <c r="C77" s="32"/>
      <c r="D77" s="33"/>
      <c r="E77" s="33"/>
      <c r="F77" s="33"/>
      <c r="G77" s="33"/>
      <c r="H77" s="33"/>
      <c r="I77" s="33"/>
      <c r="J77" s="33"/>
      <c r="K77" s="33"/>
      <c r="L77" s="33"/>
      <c r="M77" s="33"/>
      <c r="N77" s="33"/>
      <c r="O77" s="33"/>
      <c r="P77" s="33"/>
      <c r="Q77" s="33"/>
      <c r="R77" s="33"/>
      <c r="S77" s="46"/>
      <c r="T77" s="102"/>
    </row>
    <row r="78" spans="2:20" x14ac:dyDescent="0.3">
      <c r="B78" s="124" t="s">
        <v>42</v>
      </c>
      <c r="C78" s="128">
        <f>(C72+C74+C76)/3</f>
        <v>143.94994214269019</v>
      </c>
      <c r="D78" s="128">
        <f>(D72+D74+D76)/3</f>
        <v>181.77545899576035</v>
      </c>
      <c r="E78" s="128">
        <f>(E72+E74+E76)/3</f>
        <v>139.09882338572928</v>
      </c>
      <c r="F78" s="128">
        <f>(F72+F74+F76)/3</f>
        <v>94.533604350054475</v>
      </c>
      <c r="G78" s="128">
        <f t="shared" ref="G78:L78" si="19">(G72+G74+G76)/3</f>
        <v>263.50010822112267</v>
      </c>
      <c r="H78" s="128">
        <f t="shared" si="19"/>
        <v>318.42217316378196</v>
      </c>
      <c r="I78" s="128">
        <f t="shared" si="19"/>
        <v>164.82536266711881</v>
      </c>
      <c r="J78" s="128">
        <f t="shared" si="19"/>
        <v>198.07076508107889</v>
      </c>
      <c r="K78" s="128">
        <f t="shared" si="19"/>
        <v>167.14933538014768</v>
      </c>
      <c r="L78" s="128">
        <f t="shared" si="19"/>
        <v>42.822757686858928</v>
      </c>
      <c r="M78" s="128">
        <f>(M74+M76)/2</f>
        <v>28.260211906895041</v>
      </c>
      <c r="N78" s="128">
        <f t="shared" ref="N78:R78" si="20">(N74+N76)/2</f>
        <v>31.957203283853026</v>
      </c>
      <c r="O78" s="128">
        <f t="shared" si="20"/>
        <v>3.8840677304445421</v>
      </c>
      <c r="P78" s="128">
        <f t="shared" si="20"/>
        <v>74.425819778070561</v>
      </c>
      <c r="Q78" s="128">
        <f t="shared" si="20"/>
        <v>48.338975878983071</v>
      </c>
      <c r="R78" s="128">
        <f t="shared" si="20"/>
        <v>39.674449803620753</v>
      </c>
      <c r="S78" s="180">
        <f>'UK National CR data 2023'!G75</f>
        <v>1961.9897353585548</v>
      </c>
      <c r="T78" s="102"/>
    </row>
    <row r="79" spans="2:20" ht="14.5" thickBot="1" x14ac:dyDescent="0.35">
      <c r="B79" s="125" t="s">
        <v>43</v>
      </c>
      <c r="C79" s="129">
        <f>C78/(C78+C21)</f>
        <v>0.36200166751447965</v>
      </c>
      <c r="D79" s="129">
        <f>D78/(D78+D21)</f>
        <v>0.33263242841646173</v>
      </c>
      <c r="E79" s="129">
        <f>E78/(E78+E21)</f>
        <v>0.14490988007996891</v>
      </c>
      <c r="F79" s="129">
        <f>F78/(F78+F21)</f>
        <v>0.36008192011871437</v>
      </c>
      <c r="G79" s="129">
        <f t="shared" ref="G79:R79" si="21">G78/(G78+G21)</f>
        <v>0.32826718910636465</v>
      </c>
      <c r="H79" s="129">
        <f t="shared" si="21"/>
        <v>0.36253459481365652</v>
      </c>
      <c r="I79" s="129">
        <f t="shared" si="21"/>
        <v>0.31701735384016633</v>
      </c>
      <c r="J79" s="129">
        <f t="shared" si="21"/>
        <v>0.34406952219152925</v>
      </c>
      <c r="K79" s="129">
        <f t="shared" si="21"/>
        <v>0.32566887837535219</v>
      </c>
      <c r="L79" s="129">
        <f t="shared" si="21"/>
        <v>0.22150913942693978</v>
      </c>
      <c r="M79" s="129">
        <f t="shared" si="21"/>
        <v>0.40337034584552534</v>
      </c>
      <c r="N79" s="129">
        <f t="shared" si="21"/>
        <v>0.40371819566763112</v>
      </c>
      <c r="O79" s="129">
        <f t="shared" si="21"/>
        <v>4.1547911047730708E-2</v>
      </c>
      <c r="P79" s="129">
        <f t="shared" si="21"/>
        <v>0.26654347308291332</v>
      </c>
      <c r="Q79" s="129">
        <f t="shared" si="21"/>
        <v>0.4905569136252112</v>
      </c>
      <c r="R79" s="129">
        <f t="shared" si="21"/>
        <v>0.2253276943240228</v>
      </c>
      <c r="S79" s="181">
        <f>'UK National CR data 2023'!G76</f>
        <v>0.30336655368578636</v>
      </c>
      <c r="T79" s="102"/>
    </row>
    <row r="80" spans="2:20" ht="14.15" hidden="1" customHeight="1" x14ac:dyDescent="0.3">
      <c r="B80" s="126" t="s">
        <v>62</v>
      </c>
      <c r="C80" s="191">
        <v>102465</v>
      </c>
      <c r="D80" s="191">
        <v>102465</v>
      </c>
      <c r="E80" s="191">
        <v>102465</v>
      </c>
      <c r="F80" s="191">
        <v>102465</v>
      </c>
      <c r="G80" s="191">
        <v>102465</v>
      </c>
      <c r="H80" s="191">
        <v>102465</v>
      </c>
      <c r="I80" s="191">
        <v>102465</v>
      </c>
      <c r="J80" s="130">
        <v>102465</v>
      </c>
      <c r="K80" s="130">
        <v>102465</v>
      </c>
      <c r="L80" s="130">
        <v>102465</v>
      </c>
      <c r="M80" s="130">
        <v>102465</v>
      </c>
      <c r="N80" s="130">
        <v>102465</v>
      </c>
      <c r="O80" s="130">
        <v>102465</v>
      </c>
      <c r="P80" s="130">
        <v>102465</v>
      </c>
      <c r="Q80" s="130">
        <v>102465</v>
      </c>
      <c r="R80" s="130">
        <v>102465</v>
      </c>
      <c r="S80" s="182">
        <v>102465</v>
      </c>
      <c r="T80" s="102"/>
    </row>
    <row r="81" spans="2:20" ht="14.15" hidden="1" customHeight="1" x14ac:dyDescent="0.3">
      <c r="B81" s="126" t="s">
        <v>59</v>
      </c>
      <c r="C81" s="217">
        <v>562473</v>
      </c>
      <c r="D81" s="218">
        <v>881897</v>
      </c>
      <c r="E81" s="218">
        <v>1241832</v>
      </c>
      <c r="F81" s="217">
        <v>460508</v>
      </c>
      <c r="G81" s="218">
        <v>1045167</v>
      </c>
      <c r="H81" s="218">
        <v>1192847</v>
      </c>
      <c r="I81" s="218">
        <v>821516</v>
      </c>
      <c r="J81" s="217">
        <v>947604</v>
      </c>
      <c r="K81" s="217">
        <v>815759</v>
      </c>
      <c r="L81" s="217"/>
      <c r="M81" s="217"/>
      <c r="N81" s="217"/>
      <c r="O81" s="217"/>
      <c r="P81" s="217"/>
      <c r="Q81" s="217"/>
      <c r="R81" s="217"/>
      <c r="S81" s="134"/>
      <c r="T81" s="102"/>
    </row>
    <row r="82" spans="2:20" ht="14.15" hidden="1" customHeight="1" x14ac:dyDescent="0.3">
      <c r="B82" s="126" t="s">
        <v>60</v>
      </c>
      <c r="C82" s="217">
        <v>305472</v>
      </c>
      <c r="D82" s="218">
        <v>416466</v>
      </c>
      <c r="E82" s="218">
        <v>737385</v>
      </c>
      <c r="F82" s="217">
        <v>194364</v>
      </c>
      <c r="G82" s="218">
        <v>579573</v>
      </c>
      <c r="H82" s="218">
        <v>734784</v>
      </c>
      <c r="I82" s="218">
        <v>358572</v>
      </c>
      <c r="J82" s="217">
        <v>508781</v>
      </c>
      <c r="K82" s="217">
        <v>366427</v>
      </c>
      <c r="L82" s="217"/>
      <c r="M82" s="217"/>
      <c r="N82" s="217"/>
      <c r="O82" s="217"/>
      <c r="P82" s="217"/>
      <c r="Q82" s="217"/>
      <c r="R82" s="217"/>
      <c r="S82" s="134"/>
      <c r="T82" s="102"/>
    </row>
    <row r="83" spans="2:20" hidden="1" x14ac:dyDescent="0.3">
      <c r="B83" s="126" t="s">
        <v>61</v>
      </c>
      <c r="C83" s="217">
        <v>1532540</v>
      </c>
      <c r="D83" s="217">
        <v>2397605</v>
      </c>
      <c r="E83" s="217">
        <v>3696250</v>
      </c>
      <c r="F83" s="217">
        <v>1283635</v>
      </c>
      <c r="G83" s="217">
        <v>2732815</v>
      </c>
      <c r="H83" s="217">
        <v>3042135</v>
      </c>
      <c r="I83" s="217">
        <v>2041885</v>
      </c>
      <c r="J83" s="217">
        <v>2246480</v>
      </c>
      <c r="K83" s="217">
        <v>2255470</v>
      </c>
      <c r="L83" s="217"/>
      <c r="M83" s="217"/>
      <c r="N83" s="217"/>
      <c r="O83" s="217"/>
      <c r="P83" s="217"/>
      <c r="Q83" s="217"/>
      <c r="R83" s="217"/>
      <c r="S83" s="211"/>
      <c r="T83" s="102"/>
    </row>
    <row r="84" spans="2:20" hidden="1" x14ac:dyDescent="0.3">
      <c r="B84" s="126" t="s">
        <v>44</v>
      </c>
      <c r="C84" s="217">
        <f t="shared" ref="C84:E85" si="22">(C81*0.98)*(15/60)</f>
        <v>137805.88500000001</v>
      </c>
      <c r="D84" s="217">
        <f t="shared" si="22"/>
        <v>216064.76499999998</v>
      </c>
      <c r="E84" s="217">
        <f t="shared" si="22"/>
        <v>304248.83999999997</v>
      </c>
      <c r="F84" s="217">
        <f t="shared" ref="F84" si="23">(F81*0.98)*(15/60)</f>
        <v>112824.45999999999</v>
      </c>
      <c r="G84" s="217">
        <f t="shared" ref="G84:K85" si="24">(G81*0.98)*(15/60)</f>
        <v>256065.91500000001</v>
      </c>
      <c r="H84" s="217">
        <f t="shared" si="24"/>
        <v>292247.51500000001</v>
      </c>
      <c r="I84" s="217">
        <f t="shared" si="24"/>
        <v>201271.41999999998</v>
      </c>
      <c r="J84" s="217">
        <f t="shared" si="24"/>
        <v>232162.97999999998</v>
      </c>
      <c r="K84" s="217">
        <f t="shared" si="24"/>
        <v>199860.95499999999</v>
      </c>
      <c r="L84" s="217"/>
      <c r="M84" s="217"/>
      <c r="N84" s="217"/>
      <c r="O84" s="217"/>
      <c r="P84" s="217"/>
      <c r="Q84" s="217"/>
      <c r="R84" s="217"/>
      <c r="S84" s="211"/>
      <c r="T84" s="102"/>
    </row>
    <row r="85" spans="2:20" hidden="1" x14ac:dyDescent="0.3">
      <c r="B85" s="126" t="s">
        <v>45</v>
      </c>
      <c r="C85" s="219">
        <f t="shared" si="22"/>
        <v>74840.639999999999</v>
      </c>
      <c r="D85" s="219">
        <f t="shared" si="22"/>
        <v>102034.17</v>
      </c>
      <c r="E85" s="219">
        <f t="shared" si="22"/>
        <v>180659.32499999998</v>
      </c>
      <c r="F85" s="219">
        <f t="shared" ref="F85" si="25">(F82*0.98)*(15/60)</f>
        <v>47619.18</v>
      </c>
      <c r="G85" s="219">
        <f t="shared" si="24"/>
        <v>141995.38500000001</v>
      </c>
      <c r="H85" s="219">
        <f t="shared" si="24"/>
        <v>180022.08</v>
      </c>
      <c r="I85" s="219">
        <f t="shared" si="24"/>
        <v>87850.14</v>
      </c>
      <c r="J85" s="219">
        <f t="shared" si="24"/>
        <v>124651.345</v>
      </c>
      <c r="K85" s="219">
        <f t="shared" si="24"/>
        <v>89774.615000000005</v>
      </c>
      <c r="L85" s="217"/>
      <c r="M85" s="217"/>
      <c r="N85" s="217"/>
      <c r="O85" s="217"/>
      <c r="P85" s="217"/>
      <c r="Q85" s="217"/>
      <c r="R85" s="217"/>
      <c r="S85" s="211"/>
      <c r="T85" s="102"/>
    </row>
    <row r="86" spans="2:20" hidden="1" x14ac:dyDescent="0.3">
      <c r="B86" s="126" t="s">
        <v>46</v>
      </c>
      <c r="C86" s="219">
        <f t="shared" ref="C86:K86" si="26">(C83*0.4)*(3/60)</f>
        <v>30650.800000000003</v>
      </c>
      <c r="D86" s="219">
        <f t="shared" si="26"/>
        <v>47952.100000000006</v>
      </c>
      <c r="E86" s="219">
        <f t="shared" si="26"/>
        <v>73925</v>
      </c>
      <c r="F86" s="219">
        <f t="shared" si="26"/>
        <v>25672.7</v>
      </c>
      <c r="G86" s="219">
        <f t="shared" si="26"/>
        <v>54656.3</v>
      </c>
      <c r="H86" s="219">
        <f t="shared" si="26"/>
        <v>60842.700000000004</v>
      </c>
      <c r="I86" s="219">
        <f t="shared" si="26"/>
        <v>40837.700000000004</v>
      </c>
      <c r="J86" s="219">
        <f t="shared" si="26"/>
        <v>44929.600000000006</v>
      </c>
      <c r="K86" s="219">
        <f t="shared" si="26"/>
        <v>45109.4</v>
      </c>
      <c r="L86" s="217"/>
      <c r="M86" s="217"/>
      <c r="N86" s="217"/>
      <c r="O86" s="217"/>
      <c r="P86" s="217"/>
      <c r="Q86" s="217"/>
      <c r="R86" s="217"/>
      <c r="S86" s="211"/>
      <c r="T86" s="102"/>
    </row>
    <row r="87" spans="2:20" hidden="1" x14ac:dyDescent="0.3">
      <c r="B87" s="126" t="s">
        <v>47</v>
      </c>
      <c r="C87" s="217">
        <f t="shared" ref="C87:K87" si="27">SUM(C84:C86)</f>
        <v>243297.32500000001</v>
      </c>
      <c r="D87" s="217">
        <f t="shared" si="27"/>
        <v>366051.03500000003</v>
      </c>
      <c r="E87" s="217">
        <f t="shared" si="27"/>
        <v>558833.16499999992</v>
      </c>
      <c r="F87" s="217">
        <f t="shared" si="27"/>
        <v>186116.34</v>
      </c>
      <c r="G87" s="217">
        <f t="shared" si="27"/>
        <v>452717.60000000003</v>
      </c>
      <c r="H87" s="217">
        <f t="shared" si="27"/>
        <v>533112.29499999993</v>
      </c>
      <c r="I87" s="217">
        <f t="shared" si="27"/>
        <v>329959.26</v>
      </c>
      <c r="J87" s="217">
        <f t="shared" si="27"/>
        <v>401743.92499999993</v>
      </c>
      <c r="K87" s="217">
        <f t="shared" si="27"/>
        <v>334744.97000000003</v>
      </c>
      <c r="L87" s="217"/>
      <c r="M87" s="217"/>
      <c r="N87" s="217"/>
      <c r="O87" s="217"/>
      <c r="P87" s="217"/>
      <c r="Q87" s="217"/>
      <c r="R87" s="217"/>
      <c r="S87" s="211"/>
      <c r="T87" s="102"/>
    </row>
    <row r="88" spans="2:20" hidden="1" x14ac:dyDescent="0.3">
      <c r="B88" s="126" t="s">
        <v>48</v>
      </c>
      <c r="C88" s="217">
        <f t="shared" ref="C88:K88" si="28">(C21-C22)*(20*40)</f>
        <v>170719.99999999997</v>
      </c>
      <c r="D88" s="217">
        <f t="shared" si="28"/>
        <v>249600</v>
      </c>
      <c r="E88" s="217">
        <f t="shared" si="28"/>
        <v>535679.99999999988</v>
      </c>
      <c r="F88" s="217">
        <f t="shared" si="28"/>
        <v>113680</v>
      </c>
      <c r="G88" s="217">
        <f t="shared" si="28"/>
        <v>349280</v>
      </c>
      <c r="H88" s="217">
        <f t="shared" si="28"/>
        <v>358800</v>
      </c>
      <c r="I88" s="217">
        <f t="shared" si="28"/>
        <v>229920.00000000003</v>
      </c>
      <c r="J88" s="217">
        <f t="shared" si="28"/>
        <v>252720.00000000003</v>
      </c>
      <c r="K88" s="217">
        <f t="shared" si="28"/>
        <v>219280.00000000003</v>
      </c>
      <c r="L88" s="217"/>
      <c r="M88" s="217"/>
      <c r="N88" s="217"/>
      <c r="O88" s="217"/>
      <c r="P88" s="217"/>
      <c r="Q88" s="217"/>
      <c r="R88" s="217"/>
      <c r="S88" s="211"/>
      <c r="T88" s="102"/>
    </row>
    <row r="89" spans="2:20" hidden="1" x14ac:dyDescent="0.3">
      <c r="B89" s="126" t="s">
        <v>49</v>
      </c>
      <c r="C89" s="217">
        <f t="shared" ref="C89:K89" si="29">C87-C88</f>
        <v>72577.325000000041</v>
      </c>
      <c r="D89" s="217">
        <f t="shared" si="29"/>
        <v>116451.03500000003</v>
      </c>
      <c r="E89" s="217">
        <f t="shared" si="29"/>
        <v>23153.165000000037</v>
      </c>
      <c r="F89" s="217">
        <f t="shared" si="29"/>
        <v>72436.34</v>
      </c>
      <c r="G89" s="217">
        <f t="shared" si="29"/>
        <v>103437.60000000003</v>
      </c>
      <c r="H89" s="217">
        <f t="shared" si="29"/>
        <v>174312.29499999993</v>
      </c>
      <c r="I89" s="217">
        <f t="shared" si="29"/>
        <v>100039.25999999998</v>
      </c>
      <c r="J89" s="217">
        <f t="shared" si="29"/>
        <v>149023.9249999999</v>
      </c>
      <c r="K89" s="217">
        <f t="shared" si="29"/>
        <v>115464.97</v>
      </c>
      <c r="L89" s="217"/>
      <c r="M89" s="217"/>
      <c r="N89" s="217"/>
      <c r="O89" s="217"/>
      <c r="P89" s="217"/>
      <c r="Q89" s="217"/>
      <c r="R89" s="217"/>
      <c r="S89" s="211"/>
      <c r="T89" s="102"/>
    </row>
    <row r="90" spans="2:20" ht="14.5" hidden="1" thickBot="1" x14ac:dyDescent="0.35">
      <c r="B90" s="126" t="s">
        <v>50</v>
      </c>
      <c r="C90" s="220">
        <f t="shared" ref="C90:K90" si="30">C89/800</f>
        <v>90.721656250000052</v>
      </c>
      <c r="D90" s="220">
        <f t="shared" si="30"/>
        <v>145.56379375000003</v>
      </c>
      <c r="E90" s="220">
        <f t="shared" si="30"/>
        <v>28.941456250000048</v>
      </c>
      <c r="F90" s="220">
        <f t="shared" si="30"/>
        <v>90.545424999999994</v>
      </c>
      <c r="G90" s="220">
        <f t="shared" si="30"/>
        <v>129.29700000000005</v>
      </c>
      <c r="H90" s="220">
        <f t="shared" si="30"/>
        <v>217.89036874999991</v>
      </c>
      <c r="I90" s="220">
        <f t="shared" si="30"/>
        <v>125.04907499999997</v>
      </c>
      <c r="J90" s="220">
        <f t="shared" si="30"/>
        <v>186.27990624999987</v>
      </c>
      <c r="K90" s="220">
        <f t="shared" si="30"/>
        <v>144.33121249999999</v>
      </c>
      <c r="L90" s="217"/>
      <c r="M90" s="217"/>
      <c r="N90" s="217"/>
      <c r="O90" s="217"/>
      <c r="P90" s="217"/>
      <c r="Q90" s="217"/>
      <c r="R90" s="217"/>
      <c r="S90" s="211"/>
      <c r="T90" s="102"/>
    </row>
    <row r="91" spans="2:20" x14ac:dyDescent="0.3">
      <c r="B91" s="127" t="s">
        <v>56</v>
      </c>
      <c r="C91" s="135">
        <v>216.72461456498502</v>
      </c>
      <c r="D91" s="135">
        <v>320.4601007995808</v>
      </c>
      <c r="E91" s="135">
        <v>361.30775603654865</v>
      </c>
      <c r="F91" s="135">
        <v>149.21696114807798</v>
      </c>
      <c r="G91" s="135">
        <v>516.8284260186133</v>
      </c>
      <c r="H91" s="135">
        <v>586.8922840830478</v>
      </c>
      <c r="I91" s="135">
        <v>344.22221724359281</v>
      </c>
      <c r="J91" s="135">
        <v>321.40802787786072</v>
      </c>
      <c r="K91" s="135">
        <v>305.85874361805122</v>
      </c>
      <c r="L91" s="135">
        <v>128.11684930844638</v>
      </c>
      <c r="M91" s="135">
        <v>39.263071463224406</v>
      </c>
      <c r="N91" s="135">
        <v>50.022072463139793</v>
      </c>
      <c r="O91" s="135">
        <v>19.116240988211047</v>
      </c>
      <c r="P91" s="135">
        <v>157.62865678585928</v>
      </c>
      <c r="Q91" s="135">
        <v>78.206011160473309</v>
      </c>
      <c r="R91" s="135">
        <v>66.953524304118616</v>
      </c>
      <c r="S91" s="183">
        <f>'UK National CR data 2023'!G88</f>
        <v>3670.1971822381665</v>
      </c>
      <c r="T91" s="102"/>
    </row>
    <row r="92" spans="2:20" ht="14.5" thickBot="1" x14ac:dyDescent="0.35">
      <c r="B92" s="125" t="s">
        <v>57</v>
      </c>
      <c r="C92" s="136">
        <f>C91/(C91+C46)</f>
        <v>0.38858714301864955</v>
      </c>
      <c r="D92" s="136">
        <f t="shared" ref="D92:R92" si="31">D91/(D91+D46)</f>
        <v>0.41810408717332159</v>
      </c>
      <c r="E92" s="136">
        <f t="shared" si="31"/>
        <v>0.26836936385200483</v>
      </c>
      <c r="F92" s="136">
        <f t="shared" si="31"/>
        <v>0.40524195485951714</v>
      </c>
      <c r="G92" s="136">
        <f t="shared" si="31"/>
        <v>0.45906499966991293</v>
      </c>
      <c r="H92" s="136">
        <f t="shared" si="31"/>
        <v>0.47641526103063292</v>
      </c>
      <c r="I92" s="136">
        <f t="shared" si="31"/>
        <v>0.47204022190208067</v>
      </c>
      <c r="J92" s="136">
        <f t="shared" si="31"/>
        <v>0.39807385705914877</v>
      </c>
      <c r="K92" s="136">
        <f t="shared" si="31"/>
        <v>0.4248871689476017</v>
      </c>
      <c r="L92" s="136">
        <f t="shared" si="31"/>
        <v>0.44160430396869205</v>
      </c>
      <c r="M92" s="136">
        <f t="shared" si="31"/>
        <v>0.39957097695565996</v>
      </c>
      <c r="N92" s="136">
        <f t="shared" si="31"/>
        <v>0.45055970721270328</v>
      </c>
      <c r="O92" s="136">
        <f t="shared" si="31"/>
        <v>0.14579613359972568</v>
      </c>
      <c r="P92" s="136">
        <f t="shared" si="31"/>
        <v>0.40249520573784237</v>
      </c>
      <c r="Q92" s="136">
        <f t="shared" si="31"/>
        <v>0.56586548228837164</v>
      </c>
      <c r="R92" s="136">
        <f t="shared" si="31"/>
        <v>0.271117913756382</v>
      </c>
      <c r="S92" s="184">
        <f>'UK National CR data 2023'!G89</f>
        <v>0.40470025930149545</v>
      </c>
      <c r="T92" s="102"/>
    </row>
    <row r="93" spans="2:20" x14ac:dyDescent="0.3">
      <c r="C93" s="105"/>
      <c r="D93" s="107"/>
    </row>
    <row r="94" spans="2:20" x14ac:dyDescent="0.3">
      <c r="B94" s="98"/>
    </row>
    <row r="95" spans="2:20" x14ac:dyDescent="0.3">
      <c r="B95" s="98"/>
    </row>
    <row r="96" spans="2:20" x14ac:dyDescent="0.3">
      <c r="B96" s="98"/>
    </row>
    <row r="97" spans="2:2" x14ac:dyDescent="0.3">
      <c r="B97" s="98"/>
    </row>
    <row r="98" spans="2:2" x14ac:dyDescent="0.3">
      <c r="B98" s="98"/>
    </row>
  </sheetData>
  <mergeCells count="14">
    <mergeCell ref="M7:P7"/>
    <mergeCell ref="Q7:R7"/>
    <mergeCell ref="C65:K65"/>
    <mergeCell ref="M65:P65"/>
    <mergeCell ref="Q65:R65"/>
    <mergeCell ref="E5:G5"/>
    <mergeCell ref="B2:B3"/>
    <mergeCell ref="E2:G3"/>
    <mergeCell ref="C5:D5"/>
    <mergeCell ref="B62:B63"/>
    <mergeCell ref="C62:C63"/>
    <mergeCell ref="D62:D63"/>
    <mergeCell ref="E62:E63"/>
    <mergeCell ref="C7:K7"/>
  </mergeCells>
  <conditionalFormatting sqref="C15:L15 N15 P15:R15">
    <cfRule type="aboveAverage" dxfId="24" priority="27"/>
  </conditionalFormatting>
  <conditionalFormatting sqref="C12:R12">
    <cfRule type="aboveAverage" dxfId="23" priority="28"/>
  </conditionalFormatting>
  <conditionalFormatting sqref="C14:R14">
    <cfRule type="aboveAverage" dxfId="22" priority="1" aboveAverage="0"/>
  </conditionalFormatting>
  <conditionalFormatting sqref="C20:R20">
    <cfRule type="aboveAverage" dxfId="21" priority="25"/>
  </conditionalFormatting>
  <conditionalFormatting sqref="C23:R23">
    <cfRule type="aboveAverage" dxfId="20" priority="26" aboveAverage="0"/>
  </conditionalFormatting>
  <conditionalFormatting sqref="C26:R26">
    <cfRule type="aboveAverage" dxfId="19" priority="24" aboveAverage="0"/>
  </conditionalFormatting>
  <conditionalFormatting sqref="C30:R30">
    <cfRule type="aboveAverage" dxfId="18" priority="20"/>
  </conditionalFormatting>
  <conditionalFormatting sqref="C31:R31">
    <cfRule type="aboveAverage" dxfId="17" priority="23" aboveAverage="0"/>
  </conditionalFormatting>
  <conditionalFormatting sqref="C35:R35">
    <cfRule type="aboveAverage" dxfId="16" priority="22"/>
  </conditionalFormatting>
  <conditionalFormatting sqref="C36:R36">
    <cfRule type="aboveAverage" dxfId="15" priority="21"/>
  </conditionalFormatting>
  <conditionalFormatting sqref="C40:R40">
    <cfRule type="aboveAverage" dxfId="14" priority="5" aboveAverage="0"/>
  </conditionalFormatting>
  <conditionalFormatting sqref="C41:R42">
    <cfRule type="aboveAverage" dxfId="13" priority="8" aboveAverage="0"/>
  </conditionalFormatting>
  <conditionalFormatting sqref="C44:R44">
    <cfRule type="aboveAverage" dxfId="12" priority="11"/>
  </conditionalFormatting>
  <conditionalFormatting sqref="C45:R45">
    <cfRule type="aboveAverage" dxfId="11" priority="19"/>
  </conditionalFormatting>
  <conditionalFormatting sqref="C47:R47">
    <cfRule type="aboveAverage" dxfId="10" priority="18" aboveAverage="0"/>
  </conditionalFormatting>
  <conditionalFormatting sqref="C51:R51">
    <cfRule type="aboveAverage" dxfId="9" priority="17" aboveAverage="0"/>
  </conditionalFormatting>
  <conditionalFormatting sqref="C52:R52">
    <cfRule type="aboveAverage" dxfId="8" priority="7" aboveAverage="0"/>
  </conditionalFormatting>
  <conditionalFormatting sqref="C59:R59">
    <cfRule type="aboveAverage" dxfId="7" priority="16"/>
  </conditionalFormatting>
  <conditionalFormatting sqref="C60:R60">
    <cfRule type="aboveAverage" dxfId="6" priority="15"/>
  </conditionalFormatting>
  <conditionalFormatting sqref="C70:R70">
    <cfRule type="aboveAverage" dxfId="5" priority="10"/>
  </conditionalFormatting>
  <conditionalFormatting sqref="C79:R79">
    <cfRule type="aboveAverage" dxfId="4" priority="14"/>
  </conditionalFormatting>
  <conditionalFormatting sqref="C92:R92">
    <cfRule type="aboveAverage" dxfId="3" priority="13"/>
  </conditionalFormatting>
  <conditionalFormatting sqref="C11:S11">
    <cfRule type="aboveAverage" dxfId="2" priority="34"/>
  </conditionalFormatting>
  <conditionalFormatting sqref="C43:S43">
    <cfRule type="aboveAverage" dxfId="1" priority="36" aboveAverage="0"/>
  </conditionalFormatting>
  <conditionalFormatting sqref="S12">
    <cfRule type="aboveAverage" dxfId="0" priority="3"/>
  </conditionalFormatting>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291ED-857B-4F3B-99DA-9ACDF088629E}">
  <dimension ref="A1:B57"/>
  <sheetViews>
    <sheetView showGridLines="0" topLeftCell="A48" workbookViewId="0">
      <selection activeCell="B45" sqref="B45"/>
    </sheetView>
  </sheetViews>
  <sheetFormatPr defaultColWidth="8.7265625" defaultRowHeight="14" x14ac:dyDescent="0.3"/>
  <cols>
    <col min="1" max="1" width="3.1796875" style="142" customWidth="1"/>
    <col min="2" max="2" width="101.1796875" style="143" customWidth="1"/>
    <col min="3" max="16384" width="8.7265625" style="98"/>
  </cols>
  <sheetData>
    <row r="1" spans="1:2" ht="6.65" customHeight="1" x14ac:dyDescent="0.3"/>
    <row r="2" spans="1:2" ht="15.65" customHeight="1" x14ac:dyDescent="0.3">
      <c r="A2" s="250" t="s">
        <v>69</v>
      </c>
      <c r="B2" s="251"/>
    </row>
    <row r="3" spans="1:2" x14ac:dyDescent="0.3">
      <c r="A3" s="252"/>
      <c r="B3" s="253"/>
    </row>
    <row r="4" spans="1:2" x14ac:dyDescent="0.3">
      <c r="A4" s="162">
        <v>1</v>
      </c>
      <c r="B4" s="161" t="s">
        <v>69</v>
      </c>
    </row>
    <row r="5" spans="1:2" ht="32.5" customHeight="1" x14ac:dyDescent="0.3">
      <c r="A5" s="151"/>
      <c r="B5" s="152" t="s">
        <v>70</v>
      </c>
    </row>
    <row r="6" spans="1:2" x14ac:dyDescent="0.3">
      <c r="A6" s="162">
        <v>2</v>
      </c>
      <c r="B6" s="163" t="s">
        <v>71</v>
      </c>
    </row>
    <row r="7" spans="1:2" ht="63.65" customHeight="1" x14ac:dyDescent="0.3">
      <c r="A7" s="149"/>
      <c r="B7" s="153" t="s">
        <v>94</v>
      </c>
    </row>
    <row r="8" spans="1:2" x14ac:dyDescent="0.3">
      <c r="A8" s="162">
        <v>3</v>
      </c>
      <c r="B8" s="163" t="s">
        <v>72</v>
      </c>
    </row>
    <row r="9" spans="1:2" ht="50.15" customHeight="1" x14ac:dyDescent="0.3">
      <c r="A9" s="146"/>
      <c r="B9" s="147" t="s">
        <v>73</v>
      </c>
    </row>
    <row r="10" spans="1:2" ht="31.5" customHeight="1" x14ac:dyDescent="0.3">
      <c r="A10" s="149"/>
      <c r="B10" s="153" t="s">
        <v>97</v>
      </c>
    </row>
    <row r="11" spans="1:2" x14ac:dyDescent="0.3">
      <c r="A11" s="162">
        <v>4</v>
      </c>
      <c r="B11" s="163" t="s">
        <v>74</v>
      </c>
    </row>
    <row r="12" spans="1:2" ht="28" x14ac:dyDescent="0.3">
      <c r="A12" s="149"/>
      <c r="B12" s="153" t="s">
        <v>95</v>
      </c>
    </row>
    <row r="13" spans="1:2" x14ac:dyDescent="0.3">
      <c r="A13" s="162">
        <v>5</v>
      </c>
      <c r="B13" s="163" t="s">
        <v>75</v>
      </c>
    </row>
    <row r="14" spans="1:2" ht="63" customHeight="1" x14ac:dyDescent="0.3">
      <c r="A14" s="146"/>
      <c r="B14" s="147" t="s">
        <v>331</v>
      </c>
    </row>
    <row r="15" spans="1:2" ht="36" customHeight="1" x14ac:dyDescent="0.3">
      <c r="A15" s="149"/>
      <c r="B15" s="153" t="s">
        <v>76</v>
      </c>
    </row>
    <row r="16" spans="1:2" x14ac:dyDescent="0.3">
      <c r="A16" s="162">
        <v>6</v>
      </c>
      <c r="B16" s="163" t="s">
        <v>77</v>
      </c>
    </row>
    <row r="17" spans="1:2" ht="31.5" customHeight="1" x14ac:dyDescent="0.3">
      <c r="A17" s="149"/>
      <c r="B17" s="152" t="s">
        <v>332</v>
      </c>
    </row>
    <row r="18" spans="1:2" x14ac:dyDescent="0.3">
      <c r="A18" s="162">
        <v>7</v>
      </c>
      <c r="B18" s="163" t="s">
        <v>78</v>
      </c>
    </row>
    <row r="19" spans="1:2" ht="35.15" customHeight="1" x14ac:dyDescent="0.3">
      <c r="A19" s="149"/>
      <c r="B19" s="153" t="s">
        <v>79</v>
      </c>
    </row>
    <row r="20" spans="1:2" x14ac:dyDescent="0.3">
      <c r="A20" s="162">
        <v>8</v>
      </c>
      <c r="B20" s="163" t="s">
        <v>80</v>
      </c>
    </row>
    <row r="21" spans="1:2" x14ac:dyDescent="0.3">
      <c r="A21" s="149"/>
      <c r="B21" s="154" t="s">
        <v>96</v>
      </c>
    </row>
    <row r="22" spans="1:2" x14ac:dyDescent="0.3">
      <c r="A22" s="162">
        <v>9</v>
      </c>
      <c r="B22" s="163" t="s">
        <v>81</v>
      </c>
    </row>
    <row r="23" spans="1:2" ht="18.649999999999999" customHeight="1" x14ac:dyDescent="0.3">
      <c r="A23" s="149"/>
      <c r="B23" s="152" t="s">
        <v>82</v>
      </c>
    </row>
    <row r="24" spans="1:2" x14ac:dyDescent="0.3">
      <c r="A24" s="162">
        <v>10</v>
      </c>
      <c r="B24" s="163" t="s">
        <v>83</v>
      </c>
    </row>
    <row r="25" spans="1:2" ht="17.5" customHeight="1" x14ac:dyDescent="0.3">
      <c r="A25" s="149"/>
      <c r="B25" s="150" t="s">
        <v>84</v>
      </c>
    </row>
    <row r="26" spans="1:2" x14ac:dyDescent="0.3">
      <c r="B26" s="145"/>
    </row>
    <row r="27" spans="1:2" x14ac:dyDescent="0.3">
      <c r="A27" s="155"/>
      <c r="B27" s="246" t="s">
        <v>85</v>
      </c>
    </row>
    <row r="28" spans="1:2" x14ac:dyDescent="0.3">
      <c r="A28" s="156"/>
      <c r="B28" s="247" t="s">
        <v>86</v>
      </c>
    </row>
    <row r="29" spans="1:2" x14ac:dyDescent="0.3">
      <c r="A29" s="162">
        <v>1</v>
      </c>
      <c r="B29" s="163" t="s">
        <v>321</v>
      </c>
    </row>
    <row r="30" spans="1:2" ht="34.5" customHeight="1" x14ac:dyDescent="0.3">
      <c r="A30" s="149"/>
      <c r="B30" s="153" t="s">
        <v>98</v>
      </c>
    </row>
    <row r="31" spans="1:2" x14ac:dyDescent="0.3">
      <c r="A31" s="162">
        <v>2</v>
      </c>
      <c r="B31" s="163" t="s">
        <v>87</v>
      </c>
    </row>
    <row r="32" spans="1:2" ht="37.5" customHeight="1" x14ac:dyDescent="0.3">
      <c r="A32" s="149"/>
      <c r="B32" s="153" t="s">
        <v>88</v>
      </c>
    </row>
    <row r="33" spans="1:2" x14ac:dyDescent="0.3">
      <c r="A33" s="162">
        <v>3</v>
      </c>
      <c r="B33" s="163" t="s">
        <v>89</v>
      </c>
    </row>
    <row r="34" spans="1:2" ht="28" x14ac:dyDescent="0.3">
      <c r="A34" s="146"/>
      <c r="B34" s="147" t="s">
        <v>333</v>
      </c>
    </row>
    <row r="35" spans="1:2" ht="57.65" customHeight="1" x14ac:dyDescent="0.3">
      <c r="A35" s="149"/>
      <c r="B35" s="153" t="s">
        <v>90</v>
      </c>
    </row>
    <row r="36" spans="1:2" x14ac:dyDescent="0.3">
      <c r="A36" s="162">
        <v>4</v>
      </c>
      <c r="B36" s="163" t="s">
        <v>91</v>
      </c>
    </row>
    <row r="37" spans="1:2" ht="35.5" customHeight="1" x14ac:dyDescent="0.3">
      <c r="A37" s="146"/>
      <c r="B37" s="147" t="s">
        <v>322</v>
      </c>
    </row>
    <row r="38" spans="1:2" ht="14.5" x14ac:dyDescent="0.3">
      <c r="A38" s="146"/>
      <c r="B38" s="157" t="s">
        <v>104</v>
      </c>
    </row>
    <row r="39" spans="1:2" ht="30.5" x14ac:dyDescent="0.3">
      <c r="A39" s="146"/>
      <c r="B39" s="147" t="s">
        <v>334</v>
      </c>
    </row>
    <row r="40" spans="1:2" ht="38.15" customHeight="1" x14ac:dyDescent="0.3">
      <c r="A40" s="146"/>
      <c r="B40" s="148" t="s">
        <v>325</v>
      </c>
    </row>
    <row r="41" spans="1:2" x14ac:dyDescent="0.3">
      <c r="A41" s="146"/>
      <c r="B41" s="148" t="s">
        <v>92</v>
      </c>
    </row>
    <row r="42" spans="1:2" ht="14.5" x14ac:dyDescent="0.3">
      <c r="A42" s="146"/>
      <c r="B42" s="158" t="s">
        <v>105</v>
      </c>
    </row>
    <row r="43" spans="1:2" ht="38.15" customHeight="1" x14ac:dyDescent="0.3">
      <c r="A43" s="146"/>
      <c r="B43" s="147" t="s">
        <v>335</v>
      </c>
    </row>
    <row r="44" spans="1:2" ht="14.5" x14ac:dyDescent="0.3">
      <c r="A44" s="146"/>
      <c r="B44" s="158" t="s">
        <v>106</v>
      </c>
    </row>
    <row r="45" spans="1:2" ht="35.5" customHeight="1" x14ac:dyDescent="0.3">
      <c r="A45" s="146"/>
      <c r="B45" s="144" t="s">
        <v>336</v>
      </c>
    </row>
    <row r="46" spans="1:2" ht="52" customHeight="1" x14ac:dyDescent="0.3">
      <c r="A46" s="149"/>
      <c r="B46" s="153" t="s">
        <v>326</v>
      </c>
    </row>
    <row r="47" spans="1:2" x14ac:dyDescent="0.3">
      <c r="A47" s="162">
        <v>5</v>
      </c>
      <c r="B47" s="163" t="s">
        <v>323</v>
      </c>
    </row>
    <row r="48" spans="1:2" ht="70" x14ac:dyDescent="0.3">
      <c r="A48" s="149"/>
      <c r="B48" s="153" t="s">
        <v>345</v>
      </c>
    </row>
    <row r="49" spans="1:2" x14ac:dyDescent="0.3">
      <c r="A49" s="162">
        <v>6</v>
      </c>
      <c r="B49" s="163" t="s">
        <v>324</v>
      </c>
    </row>
    <row r="50" spans="1:2" ht="19.5" customHeight="1" x14ac:dyDescent="0.3">
      <c r="A50" s="149"/>
      <c r="B50" s="152" t="s">
        <v>337</v>
      </c>
    </row>
    <row r="51" spans="1:2" x14ac:dyDescent="0.3">
      <c r="B51" s="144"/>
    </row>
    <row r="52" spans="1:2" x14ac:dyDescent="0.3">
      <c r="A52" s="159"/>
      <c r="B52" s="248" t="s">
        <v>99</v>
      </c>
    </row>
    <row r="53" spans="1:2" x14ac:dyDescent="0.3">
      <c r="A53" s="160"/>
      <c r="B53" s="249" t="s">
        <v>93</v>
      </c>
    </row>
    <row r="54" spans="1:2" ht="26.5" customHeight="1" x14ac:dyDescent="0.3">
      <c r="A54" s="146"/>
      <c r="B54" s="194" t="s">
        <v>327</v>
      </c>
    </row>
    <row r="55" spans="1:2" ht="26.5" customHeight="1" x14ac:dyDescent="0.3">
      <c r="A55" s="146"/>
      <c r="B55" s="195" t="s">
        <v>328</v>
      </c>
    </row>
    <row r="56" spans="1:2" ht="26.5" customHeight="1" x14ac:dyDescent="0.3">
      <c r="A56" s="146"/>
      <c r="B56" s="194" t="s">
        <v>329</v>
      </c>
    </row>
    <row r="57" spans="1:2" ht="26.5" customHeight="1" x14ac:dyDescent="0.3">
      <c r="A57" s="146"/>
      <c r="B57" s="194" t="s">
        <v>330</v>
      </c>
    </row>
  </sheetData>
  <mergeCells count="3">
    <mergeCell ref="B27:B28"/>
    <mergeCell ref="B52:B53"/>
    <mergeCell ref="A2:B3"/>
  </mergeCells>
  <hyperlinks>
    <hyperlink ref="B25" r:id="rId1" display="mailto:census@rcr.ac.uk" xr:uid="{70526777-A8C5-4256-8721-6507B921DF47}"/>
    <hyperlink ref="B53" r:id="rId2" display="https://www.england.nhs.uk/statistics/statistical-work-areas/diagnostic-imaging-dataset/" xr:uid="{BD234E94-C077-433D-A8E8-0A4F654E331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43878-21A2-44CC-AE53-D05029837FFE}">
  <dimension ref="A1:D160"/>
  <sheetViews>
    <sheetView workbookViewId="0">
      <selection activeCell="C12" sqref="C12"/>
    </sheetView>
  </sheetViews>
  <sheetFormatPr defaultRowHeight="14.5" x14ac:dyDescent="0.35"/>
  <cols>
    <col min="1" max="1" width="71.36328125" bestFit="1" customWidth="1"/>
    <col min="2" max="2" width="25.90625" bestFit="1" customWidth="1"/>
    <col min="3" max="3" width="29.7265625" bestFit="1" customWidth="1"/>
    <col min="4" max="4" width="15.90625" bestFit="1" customWidth="1"/>
  </cols>
  <sheetData>
    <row r="1" spans="1:4" ht="15" thickBot="1" x14ac:dyDescent="0.4">
      <c r="A1" s="88" t="s">
        <v>130</v>
      </c>
      <c r="B1" s="88" t="s">
        <v>131</v>
      </c>
      <c r="C1" s="88" t="s">
        <v>132</v>
      </c>
      <c r="D1" s="88" t="s">
        <v>133</v>
      </c>
    </row>
    <row r="2" spans="1:4" ht="15" thickBot="1" x14ac:dyDescent="0.4">
      <c r="A2" s="196" t="s">
        <v>134</v>
      </c>
      <c r="B2" s="197" t="s">
        <v>135</v>
      </c>
      <c r="C2" s="198" t="s">
        <v>136</v>
      </c>
      <c r="D2" s="199" t="s">
        <v>137</v>
      </c>
    </row>
    <row r="3" spans="1:4" ht="15" thickBot="1" x14ac:dyDescent="0.4">
      <c r="A3" s="200" t="s">
        <v>138</v>
      </c>
      <c r="B3" s="201" t="s">
        <v>111</v>
      </c>
      <c r="C3" s="202" t="s">
        <v>139</v>
      </c>
      <c r="D3" s="203" t="s">
        <v>137</v>
      </c>
    </row>
    <row r="4" spans="1:4" ht="15" thickBot="1" x14ac:dyDescent="0.4">
      <c r="A4" s="200" t="s">
        <v>140</v>
      </c>
      <c r="B4" s="201" t="s">
        <v>120</v>
      </c>
      <c r="C4" s="202" t="s">
        <v>5</v>
      </c>
      <c r="D4" s="203" t="s">
        <v>5</v>
      </c>
    </row>
    <row r="5" spans="1:4" ht="15" thickBot="1" x14ac:dyDescent="0.4">
      <c r="A5" s="200" t="s">
        <v>141</v>
      </c>
      <c r="B5" s="201" t="s">
        <v>112</v>
      </c>
      <c r="C5" s="202" t="s">
        <v>142</v>
      </c>
      <c r="D5" s="203" t="s">
        <v>137</v>
      </c>
    </row>
    <row r="6" spans="1:4" ht="15" thickBot="1" x14ac:dyDescent="0.4">
      <c r="A6" s="200" t="s">
        <v>143</v>
      </c>
      <c r="B6" s="201" t="s">
        <v>109</v>
      </c>
      <c r="C6" s="202" t="s">
        <v>144</v>
      </c>
      <c r="D6" s="203" t="s">
        <v>137</v>
      </c>
    </row>
    <row r="7" spans="1:4" ht="15" thickBot="1" x14ac:dyDescent="0.4">
      <c r="A7" s="200" t="s">
        <v>145</v>
      </c>
      <c r="B7" s="201" t="s">
        <v>135</v>
      </c>
      <c r="C7" s="202" t="s">
        <v>146</v>
      </c>
      <c r="D7" s="203" t="s">
        <v>137</v>
      </c>
    </row>
    <row r="8" spans="1:4" ht="15" thickBot="1" x14ac:dyDescent="0.4">
      <c r="A8" s="200" t="s">
        <v>147</v>
      </c>
      <c r="B8" s="201" t="s">
        <v>109</v>
      </c>
      <c r="C8" s="202" t="s">
        <v>144</v>
      </c>
      <c r="D8" s="203" t="s">
        <v>137</v>
      </c>
    </row>
    <row r="9" spans="1:4" ht="15" thickBot="1" x14ac:dyDescent="0.4">
      <c r="A9" s="200" t="s">
        <v>148</v>
      </c>
      <c r="B9" s="201" t="s">
        <v>108</v>
      </c>
      <c r="C9" s="202" t="s">
        <v>149</v>
      </c>
      <c r="D9" s="203" t="s">
        <v>137</v>
      </c>
    </row>
    <row r="10" spans="1:4" ht="15" thickBot="1" x14ac:dyDescent="0.4">
      <c r="A10" s="200" t="s">
        <v>150</v>
      </c>
      <c r="B10" s="201" t="s">
        <v>151</v>
      </c>
      <c r="C10" s="202" t="s">
        <v>3</v>
      </c>
      <c r="D10" s="203" t="s">
        <v>3</v>
      </c>
    </row>
    <row r="11" spans="1:4" ht="15" thickBot="1" x14ac:dyDescent="0.4">
      <c r="A11" s="200" t="s">
        <v>152</v>
      </c>
      <c r="B11" s="201" t="s">
        <v>153</v>
      </c>
      <c r="C11" s="202" t="s">
        <v>5</v>
      </c>
      <c r="D11" s="203" t="s">
        <v>5</v>
      </c>
    </row>
    <row r="12" spans="1:4" ht="15" thickBot="1" x14ac:dyDescent="0.4">
      <c r="A12" s="200" t="s">
        <v>154</v>
      </c>
      <c r="B12" s="201" t="s">
        <v>114</v>
      </c>
      <c r="C12" s="202" t="s">
        <v>114</v>
      </c>
      <c r="D12" s="203" t="s">
        <v>137</v>
      </c>
    </row>
    <row r="13" spans="1:4" ht="15" thickBot="1" x14ac:dyDescent="0.4">
      <c r="A13" s="200" t="s">
        <v>155</v>
      </c>
      <c r="B13" s="201" t="s">
        <v>111</v>
      </c>
      <c r="C13" s="202" t="s">
        <v>156</v>
      </c>
      <c r="D13" s="203" t="s">
        <v>137</v>
      </c>
    </row>
    <row r="14" spans="1:4" ht="15" thickBot="1" x14ac:dyDescent="0.4">
      <c r="A14" s="200" t="s">
        <v>157</v>
      </c>
      <c r="B14" s="201" t="s">
        <v>111</v>
      </c>
      <c r="C14" s="202" t="s">
        <v>158</v>
      </c>
      <c r="D14" s="203" t="s">
        <v>137</v>
      </c>
    </row>
    <row r="15" spans="1:4" ht="15" thickBot="1" x14ac:dyDescent="0.4">
      <c r="A15" s="200" t="s">
        <v>159</v>
      </c>
      <c r="B15" s="201" t="s">
        <v>135</v>
      </c>
      <c r="C15" s="202" t="s">
        <v>136</v>
      </c>
      <c r="D15" s="203" t="s">
        <v>137</v>
      </c>
    </row>
    <row r="16" spans="1:4" ht="15" thickBot="1" x14ac:dyDescent="0.4">
      <c r="A16" s="200" t="s">
        <v>160</v>
      </c>
      <c r="B16" s="201" t="s">
        <v>112</v>
      </c>
      <c r="C16" s="202" t="s">
        <v>161</v>
      </c>
      <c r="D16" s="203" t="s">
        <v>137</v>
      </c>
    </row>
    <row r="17" spans="1:4" ht="15" thickBot="1" x14ac:dyDescent="0.4">
      <c r="A17" s="200" t="s">
        <v>162</v>
      </c>
      <c r="B17" s="201" t="s">
        <v>135</v>
      </c>
      <c r="C17" s="202" t="s">
        <v>136</v>
      </c>
      <c r="D17" s="203" t="s">
        <v>137</v>
      </c>
    </row>
    <row r="18" spans="1:4" ht="15" thickBot="1" x14ac:dyDescent="0.4">
      <c r="A18" s="200" t="s">
        <v>163</v>
      </c>
      <c r="B18" s="201" t="s">
        <v>108</v>
      </c>
      <c r="C18" s="202" t="s">
        <v>164</v>
      </c>
      <c r="D18" s="203" t="s">
        <v>137</v>
      </c>
    </row>
    <row r="19" spans="1:4" ht="15" thickBot="1" x14ac:dyDescent="0.4">
      <c r="A19" s="200" t="s">
        <v>165</v>
      </c>
      <c r="B19" s="201" t="s">
        <v>120</v>
      </c>
      <c r="C19" s="202" t="s">
        <v>5</v>
      </c>
      <c r="D19" s="203" t="s">
        <v>5</v>
      </c>
    </row>
    <row r="20" spans="1:4" ht="15" thickBot="1" x14ac:dyDescent="0.4">
      <c r="A20" s="200" t="s">
        <v>166</v>
      </c>
      <c r="B20" s="201" t="s">
        <v>109</v>
      </c>
      <c r="C20" s="202" t="s">
        <v>167</v>
      </c>
      <c r="D20" s="203" t="s">
        <v>137</v>
      </c>
    </row>
    <row r="21" spans="1:4" ht="15" thickBot="1" x14ac:dyDescent="0.4">
      <c r="A21" s="200" t="s">
        <v>168</v>
      </c>
      <c r="B21" s="201" t="s">
        <v>107</v>
      </c>
      <c r="C21" s="202" t="s">
        <v>169</v>
      </c>
      <c r="D21" s="203" t="s">
        <v>137</v>
      </c>
    </row>
    <row r="22" spans="1:4" ht="15" thickBot="1" x14ac:dyDescent="0.4">
      <c r="A22" s="200" t="s">
        <v>170</v>
      </c>
      <c r="B22" s="201" t="s">
        <v>111</v>
      </c>
      <c r="C22" s="202" t="s">
        <v>139</v>
      </c>
      <c r="D22" s="203" t="s">
        <v>137</v>
      </c>
    </row>
    <row r="23" spans="1:4" ht="15" thickBot="1" x14ac:dyDescent="0.4">
      <c r="A23" s="200" t="s">
        <v>171</v>
      </c>
      <c r="B23" s="201" t="s">
        <v>110</v>
      </c>
      <c r="C23" s="202" t="s">
        <v>172</v>
      </c>
      <c r="D23" s="203" t="s">
        <v>137</v>
      </c>
    </row>
    <row r="24" spans="1:4" ht="15" thickBot="1" x14ac:dyDescent="0.4">
      <c r="A24" s="200" t="s">
        <v>173</v>
      </c>
      <c r="B24" s="201" t="s">
        <v>109</v>
      </c>
      <c r="C24" s="202" t="s">
        <v>174</v>
      </c>
      <c r="D24" s="203" t="s">
        <v>137</v>
      </c>
    </row>
    <row r="25" spans="1:4" ht="15" thickBot="1" x14ac:dyDescent="0.4">
      <c r="A25" s="200" t="s">
        <v>175</v>
      </c>
      <c r="B25" s="201" t="s">
        <v>120</v>
      </c>
      <c r="C25" s="202" t="s">
        <v>5</v>
      </c>
      <c r="D25" s="203" t="s">
        <v>5</v>
      </c>
    </row>
    <row r="26" spans="1:4" ht="15" thickBot="1" x14ac:dyDescent="0.4">
      <c r="A26" s="200" t="s">
        <v>176</v>
      </c>
      <c r="B26" s="201" t="s">
        <v>112</v>
      </c>
      <c r="C26" s="202" t="s">
        <v>177</v>
      </c>
      <c r="D26" s="203" t="s">
        <v>137</v>
      </c>
    </row>
    <row r="27" spans="1:4" ht="15" thickBot="1" x14ac:dyDescent="0.4">
      <c r="A27" s="200" t="s">
        <v>178</v>
      </c>
      <c r="B27" s="201" t="s">
        <v>135</v>
      </c>
      <c r="C27" s="202" t="s">
        <v>146</v>
      </c>
      <c r="D27" s="203" t="s">
        <v>137</v>
      </c>
    </row>
    <row r="28" spans="1:4" ht="15" thickBot="1" x14ac:dyDescent="0.4">
      <c r="A28" s="200" t="s">
        <v>179</v>
      </c>
      <c r="B28" s="201" t="s">
        <v>113</v>
      </c>
      <c r="C28" s="202" t="s">
        <v>180</v>
      </c>
      <c r="D28" s="203" t="s">
        <v>137</v>
      </c>
    </row>
    <row r="29" spans="1:4" ht="15" thickBot="1" x14ac:dyDescent="0.4">
      <c r="A29" s="200" t="s">
        <v>181</v>
      </c>
      <c r="B29" s="201" t="s">
        <v>108</v>
      </c>
      <c r="C29" s="202" t="s">
        <v>149</v>
      </c>
      <c r="D29" s="203" t="s">
        <v>137</v>
      </c>
    </row>
    <row r="30" spans="1:4" ht="15" thickBot="1" x14ac:dyDescent="0.4">
      <c r="A30" s="200" t="s">
        <v>182</v>
      </c>
      <c r="B30" s="201" t="s">
        <v>111</v>
      </c>
      <c r="C30" s="202" t="s">
        <v>158</v>
      </c>
      <c r="D30" s="203" t="s">
        <v>137</v>
      </c>
    </row>
    <row r="31" spans="1:4" ht="15" thickBot="1" x14ac:dyDescent="0.4">
      <c r="A31" s="200" t="s">
        <v>183</v>
      </c>
      <c r="B31" s="201" t="s">
        <v>112</v>
      </c>
      <c r="C31" s="202" t="s">
        <v>177</v>
      </c>
      <c r="D31" s="203" t="s">
        <v>137</v>
      </c>
    </row>
    <row r="32" spans="1:4" ht="15" thickBot="1" x14ac:dyDescent="0.4">
      <c r="A32" s="200" t="s">
        <v>184</v>
      </c>
      <c r="B32" s="201" t="s">
        <v>111</v>
      </c>
      <c r="C32" s="202" t="s">
        <v>156</v>
      </c>
      <c r="D32" s="203" t="s">
        <v>137</v>
      </c>
    </row>
    <row r="33" spans="1:4" ht="15" thickBot="1" x14ac:dyDescent="0.4">
      <c r="A33" s="200" t="s">
        <v>185</v>
      </c>
      <c r="B33" s="201" t="s">
        <v>108</v>
      </c>
      <c r="C33" s="202" t="s">
        <v>164</v>
      </c>
      <c r="D33" s="203" t="s">
        <v>137</v>
      </c>
    </row>
    <row r="34" spans="1:4" ht="15" thickBot="1" x14ac:dyDescent="0.4">
      <c r="A34" s="200" t="s">
        <v>186</v>
      </c>
      <c r="B34" s="201" t="s">
        <v>112</v>
      </c>
      <c r="C34" s="202" t="s">
        <v>142</v>
      </c>
      <c r="D34" s="203" t="s">
        <v>137</v>
      </c>
    </row>
    <row r="35" spans="1:4" ht="15" thickBot="1" x14ac:dyDescent="0.4">
      <c r="A35" s="200" t="s">
        <v>187</v>
      </c>
      <c r="B35" s="201" t="s">
        <v>109</v>
      </c>
      <c r="C35" s="202" t="s">
        <v>174</v>
      </c>
      <c r="D35" s="203" t="s">
        <v>137</v>
      </c>
    </row>
    <row r="36" spans="1:4" ht="15" thickBot="1" x14ac:dyDescent="0.4">
      <c r="A36" s="200" t="s">
        <v>188</v>
      </c>
      <c r="B36" s="201" t="s">
        <v>112</v>
      </c>
      <c r="C36" s="202" t="s">
        <v>142</v>
      </c>
      <c r="D36" s="203" t="s">
        <v>137</v>
      </c>
    </row>
    <row r="37" spans="1:4" ht="15" thickBot="1" x14ac:dyDescent="0.4">
      <c r="A37" s="200" t="s">
        <v>189</v>
      </c>
      <c r="B37" s="201" t="s">
        <v>110</v>
      </c>
      <c r="C37" s="202" t="s">
        <v>172</v>
      </c>
      <c r="D37" s="203" t="s">
        <v>137</v>
      </c>
    </row>
    <row r="38" spans="1:4" ht="15" thickBot="1" x14ac:dyDescent="0.4">
      <c r="A38" s="200" t="s">
        <v>190</v>
      </c>
      <c r="B38" s="201" t="s">
        <v>114</v>
      </c>
      <c r="C38" s="202" t="s">
        <v>114</v>
      </c>
      <c r="D38" s="203" t="s">
        <v>137</v>
      </c>
    </row>
    <row r="39" spans="1:4" ht="15" thickBot="1" x14ac:dyDescent="0.4">
      <c r="A39" s="200" t="s">
        <v>191</v>
      </c>
      <c r="B39" s="201" t="s">
        <v>113</v>
      </c>
      <c r="C39" s="202" t="s">
        <v>192</v>
      </c>
      <c r="D39" s="203" t="s">
        <v>137</v>
      </c>
    </row>
    <row r="40" spans="1:4" ht="15" thickBot="1" x14ac:dyDescent="0.4">
      <c r="A40" s="200" t="s">
        <v>193</v>
      </c>
      <c r="B40" s="201" t="s">
        <v>109</v>
      </c>
      <c r="C40" s="202" t="s">
        <v>194</v>
      </c>
      <c r="D40" s="203" t="s">
        <v>137</v>
      </c>
    </row>
    <row r="41" spans="1:4" ht="15" thickBot="1" x14ac:dyDescent="0.4">
      <c r="A41" s="200" t="s">
        <v>195</v>
      </c>
      <c r="B41" s="201" t="s">
        <v>113</v>
      </c>
      <c r="C41" s="202" t="s">
        <v>192</v>
      </c>
      <c r="D41" s="203" t="s">
        <v>137</v>
      </c>
    </row>
    <row r="42" spans="1:4" ht="15" thickBot="1" x14ac:dyDescent="0.4">
      <c r="A42" s="200" t="s">
        <v>196</v>
      </c>
      <c r="B42" s="201" t="s">
        <v>109</v>
      </c>
      <c r="C42" s="202" t="s">
        <v>197</v>
      </c>
      <c r="D42" s="203" t="s">
        <v>137</v>
      </c>
    </row>
    <row r="43" spans="1:4" ht="15" thickBot="1" x14ac:dyDescent="0.4">
      <c r="A43" s="200" t="s">
        <v>198</v>
      </c>
      <c r="B43" s="201" t="s">
        <v>112</v>
      </c>
      <c r="C43" s="202" t="s">
        <v>180</v>
      </c>
      <c r="D43" s="203" t="s">
        <v>137</v>
      </c>
    </row>
    <row r="44" spans="1:4" ht="15" thickBot="1" x14ac:dyDescent="0.4">
      <c r="A44" s="200" t="s">
        <v>199</v>
      </c>
      <c r="B44" s="201" t="s">
        <v>135</v>
      </c>
      <c r="C44" s="202" t="s">
        <v>136</v>
      </c>
      <c r="D44" s="203" t="s">
        <v>137</v>
      </c>
    </row>
    <row r="45" spans="1:4" ht="15" thickBot="1" x14ac:dyDescent="0.4">
      <c r="A45" s="200" t="s">
        <v>200</v>
      </c>
      <c r="B45" s="201" t="s">
        <v>109</v>
      </c>
      <c r="C45" s="202" t="s">
        <v>144</v>
      </c>
      <c r="D45" s="203" t="s">
        <v>137</v>
      </c>
    </row>
    <row r="46" spans="1:4" ht="15" thickBot="1" x14ac:dyDescent="0.4">
      <c r="A46" s="200" t="s">
        <v>201</v>
      </c>
      <c r="B46" s="201" t="s">
        <v>135</v>
      </c>
      <c r="C46" s="202" t="s">
        <v>202</v>
      </c>
      <c r="D46" s="203" t="s">
        <v>137</v>
      </c>
    </row>
    <row r="47" spans="1:4" ht="15" thickBot="1" x14ac:dyDescent="0.4">
      <c r="A47" s="200" t="s">
        <v>203</v>
      </c>
      <c r="B47" s="201" t="s">
        <v>153</v>
      </c>
      <c r="C47" s="202" t="s">
        <v>5</v>
      </c>
      <c r="D47" s="203" t="s">
        <v>5</v>
      </c>
    </row>
    <row r="48" spans="1:4" ht="15" thickBot="1" x14ac:dyDescent="0.4">
      <c r="A48" s="200" t="s">
        <v>204</v>
      </c>
      <c r="B48" s="201" t="s">
        <v>109</v>
      </c>
      <c r="C48" s="202" t="s">
        <v>167</v>
      </c>
      <c r="D48" s="203" t="s">
        <v>137</v>
      </c>
    </row>
    <row r="49" spans="1:4" ht="15" thickBot="1" x14ac:dyDescent="0.4">
      <c r="A49" s="200" t="s">
        <v>205</v>
      </c>
      <c r="B49" s="201" t="s">
        <v>112</v>
      </c>
      <c r="C49" s="202" t="s">
        <v>180</v>
      </c>
      <c r="D49" s="203" t="s">
        <v>137</v>
      </c>
    </row>
    <row r="50" spans="1:4" ht="15" thickBot="1" x14ac:dyDescent="0.4">
      <c r="A50" s="200" t="s">
        <v>206</v>
      </c>
      <c r="B50" s="201" t="s">
        <v>108</v>
      </c>
      <c r="C50" s="202" t="s">
        <v>164</v>
      </c>
      <c r="D50" s="203" t="s">
        <v>137</v>
      </c>
    </row>
    <row r="51" spans="1:4" ht="15" thickBot="1" x14ac:dyDescent="0.4">
      <c r="A51" s="200" t="s">
        <v>207</v>
      </c>
      <c r="B51" s="201" t="s">
        <v>107</v>
      </c>
      <c r="C51" s="202" t="s">
        <v>169</v>
      </c>
      <c r="D51" s="203" t="s">
        <v>137</v>
      </c>
    </row>
    <row r="52" spans="1:4" ht="15" thickBot="1" x14ac:dyDescent="0.4">
      <c r="A52" s="200" t="s">
        <v>208</v>
      </c>
      <c r="B52" s="201" t="s">
        <v>109</v>
      </c>
      <c r="C52" s="202" t="s">
        <v>197</v>
      </c>
      <c r="D52" s="203" t="s">
        <v>137</v>
      </c>
    </row>
    <row r="53" spans="1:4" ht="15" thickBot="1" x14ac:dyDescent="0.4">
      <c r="A53" s="200" t="s">
        <v>209</v>
      </c>
      <c r="B53" s="201" t="s">
        <v>109</v>
      </c>
      <c r="C53" s="202" t="s">
        <v>174</v>
      </c>
      <c r="D53" s="203" t="s">
        <v>137</v>
      </c>
    </row>
    <row r="54" spans="1:4" ht="15" thickBot="1" x14ac:dyDescent="0.4">
      <c r="A54" s="200" t="s">
        <v>210</v>
      </c>
      <c r="B54" s="201" t="s">
        <v>111</v>
      </c>
      <c r="C54" s="202" t="s">
        <v>156</v>
      </c>
      <c r="D54" s="203" t="s">
        <v>137</v>
      </c>
    </row>
    <row r="55" spans="1:4" ht="15" thickBot="1" x14ac:dyDescent="0.4">
      <c r="A55" s="200" t="s">
        <v>211</v>
      </c>
      <c r="B55" s="201" t="s">
        <v>135</v>
      </c>
      <c r="C55" s="202" t="s">
        <v>136</v>
      </c>
      <c r="D55" s="203" t="s">
        <v>137</v>
      </c>
    </row>
    <row r="56" spans="1:4" ht="15" thickBot="1" x14ac:dyDescent="0.4">
      <c r="A56" s="200" t="s">
        <v>212</v>
      </c>
      <c r="B56" s="201" t="s">
        <v>109</v>
      </c>
      <c r="C56" s="202" t="s">
        <v>197</v>
      </c>
      <c r="D56" s="203" t="s">
        <v>137</v>
      </c>
    </row>
    <row r="57" spans="1:4" ht="15" thickBot="1" x14ac:dyDescent="0.4">
      <c r="A57" s="204" t="s">
        <v>213</v>
      </c>
      <c r="B57" s="201" t="s">
        <v>111</v>
      </c>
      <c r="C57" s="202" t="s">
        <v>139</v>
      </c>
      <c r="D57" s="203" t="s">
        <v>137</v>
      </c>
    </row>
    <row r="58" spans="1:4" ht="15" thickBot="1" x14ac:dyDescent="0.4">
      <c r="A58" s="200" t="s">
        <v>214</v>
      </c>
      <c r="B58" s="201" t="s">
        <v>111</v>
      </c>
      <c r="C58" s="202" t="s">
        <v>139</v>
      </c>
      <c r="D58" s="203" t="s">
        <v>137</v>
      </c>
    </row>
    <row r="59" spans="1:4" ht="15" thickBot="1" x14ac:dyDescent="0.4">
      <c r="A59" s="200" t="s">
        <v>215</v>
      </c>
      <c r="B59" s="201" t="s">
        <v>109</v>
      </c>
      <c r="C59" s="202" t="s">
        <v>167</v>
      </c>
      <c r="D59" s="203" t="s">
        <v>137</v>
      </c>
    </row>
    <row r="60" spans="1:4" ht="15" thickBot="1" x14ac:dyDescent="0.4">
      <c r="A60" s="200" t="s">
        <v>216</v>
      </c>
      <c r="B60" s="201" t="s">
        <v>112</v>
      </c>
      <c r="C60" s="202" t="s">
        <v>177</v>
      </c>
      <c r="D60" s="203" t="s">
        <v>137</v>
      </c>
    </row>
    <row r="61" spans="1:4" ht="15" thickBot="1" x14ac:dyDescent="0.4">
      <c r="A61" s="200" t="s">
        <v>217</v>
      </c>
      <c r="B61" s="201" t="s">
        <v>111</v>
      </c>
      <c r="C61" s="202" t="s">
        <v>158</v>
      </c>
      <c r="D61" s="203" t="s">
        <v>137</v>
      </c>
    </row>
    <row r="62" spans="1:4" ht="15" thickBot="1" x14ac:dyDescent="0.4">
      <c r="A62" s="200" t="s">
        <v>218</v>
      </c>
      <c r="B62" s="201" t="s">
        <v>112</v>
      </c>
      <c r="C62" s="202" t="s">
        <v>177</v>
      </c>
      <c r="D62" s="203" t="s">
        <v>137</v>
      </c>
    </row>
    <row r="63" spans="1:4" ht="15" thickBot="1" x14ac:dyDescent="0.4">
      <c r="A63" s="200" t="s">
        <v>316</v>
      </c>
      <c r="B63" s="201" t="s">
        <v>111</v>
      </c>
      <c r="C63" s="202" t="s">
        <v>139</v>
      </c>
      <c r="D63" s="203" t="s">
        <v>137</v>
      </c>
    </row>
    <row r="64" spans="1:4" ht="15" thickBot="1" x14ac:dyDescent="0.4">
      <c r="A64" s="200" t="s">
        <v>219</v>
      </c>
      <c r="B64" s="201" t="s">
        <v>108</v>
      </c>
      <c r="C64" s="202" t="s">
        <v>149</v>
      </c>
      <c r="D64" s="203" t="s">
        <v>137</v>
      </c>
    </row>
    <row r="65" spans="1:4" ht="15" thickBot="1" x14ac:dyDescent="0.4">
      <c r="A65" s="200" t="s">
        <v>220</v>
      </c>
      <c r="B65" s="201" t="s">
        <v>111</v>
      </c>
      <c r="C65" s="202" t="s">
        <v>139</v>
      </c>
      <c r="D65" s="203" t="s">
        <v>137</v>
      </c>
    </row>
    <row r="66" spans="1:4" ht="15" thickBot="1" x14ac:dyDescent="0.4">
      <c r="A66" s="200" t="s">
        <v>317</v>
      </c>
      <c r="B66" s="201" t="s">
        <v>135</v>
      </c>
      <c r="C66" s="202" t="s">
        <v>136</v>
      </c>
      <c r="D66" s="203" t="s">
        <v>137</v>
      </c>
    </row>
    <row r="67" spans="1:4" ht="15" thickBot="1" x14ac:dyDescent="0.4">
      <c r="A67" s="200" t="s">
        <v>221</v>
      </c>
      <c r="B67" s="201" t="s">
        <v>112</v>
      </c>
      <c r="C67" s="202" t="s">
        <v>161</v>
      </c>
      <c r="D67" s="203" t="s">
        <v>137</v>
      </c>
    </row>
    <row r="68" spans="1:4" ht="15" thickBot="1" x14ac:dyDescent="0.4">
      <c r="A68" s="200" t="s">
        <v>222</v>
      </c>
      <c r="B68" s="201" t="s">
        <v>109</v>
      </c>
      <c r="C68" s="202" t="s">
        <v>194</v>
      </c>
      <c r="D68" s="203" t="s">
        <v>137</v>
      </c>
    </row>
    <row r="69" spans="1:4" ht="15" thickBot="1" x14ac:dyDescent="0.4">
      <c r="A69" s="200" t="s">
        <v>223</v>
      </c>
      <c r="B69" s="201" t="s">
        <v>123</v>
      </c>
      <c r="C69" s="202" t="s">
        <v>224</v>
      </c>
      <c r="D69" s="203" t="s">
        <v>4</v>
      </c>
    </row>
    <row r="70" spans="1:4" ht="15" thickBot="1" x14ac:dyDescent="0.4">
      <c r="A70" s="200" t="s">
        <v>225</v>
      </c>
      <c r="B70" s="201" t="s">
        <v>118</v>
      </c>
      <c r="C70" s="202" t="s">
        <v>226</v>
      </c>
      <c r="D70" s="203" t="s">
        <v>4</v>
      </c>
    </row>
    <row r="71" spans="1:4" ht="15" thickBot="1" x14ac:dyDescent="0.4">
      <c r="A71" s="200" t="s">
        <v>227</v>
      </c>
      <c r="B71" s="201" t="s">
        <v>123</v>
      </c>
      <c r="C71" s="202" t="s">
        <v>224</v>
      </c>
      <c r="D71" s="203" t="s">
        <v>4</v>
      </c>
    </row>
    <row r="72" spans="1:4" ht="15" thickBot="1" x14ac:dyDescent="0.4">
      <c r="A72" s="200" t="s">
        <v>228</v>
      </c>
      <c r="B72" s="201" t="s">
        <v>116</v>
      </c>
      <c r="C72" s="202" t="s">
        <v>226</v>
      </c>
      <c r="D72" s="203" t="s">
        <v>4</v>
      </c>
    </row>
    <row r="73" spans="1:4" ht="15" thickBot="1" x14ac:dyDescent="0.4">
      <c r="A73" s="200" t="s">
        <v>229</v>
      </c>
      <c r="B73" s="201" t="s">
        <v>123</v>
      </c>
      <c r="C73" s="202" t="s">
        <v>224</v>
      </c>
      <c r="D73" s="203" t="s">
        <v>4</v>
      </c>
    </row>
    <row r="74" spans="1:4" ht="15" thickBot="1" x14ac:dyDescent="0.4">
      <c r="A74" s="200" t="s">
        <v>318</v>
      </c>
      <c r="B74" s="201" t="s">
        <v>123</v>
      </c>
      <c r="C74" s="202" t="s">
        <v>224</v>
      </c>
      <c r="D74" s="203" t="s">
        <v>4</v>
      </c>
    </row>
    <row r="75" spans="1:4" ht="15" thickBot="1" x14ac:dyDescent="0.4">
      <c r="A75" s="200" t="s">
        <v>230</v>
      </c>
      <c r="B75" s="201" t="s">
        <v>117</v>
      </c>
      <c r="C75" s="202" t="s">
        <v>231</v>
      </c>
      <c r="D75" s="203" t="s">
        <v>4</v>
      </c>
    </row>
    <row r="76" spans="1:4" ht="15" thickBot="1" x14ac:dyDescent="0.4">
      <c r="A76" s="200" t="s">
        <v>232</v>
      </c>
      <c r="B76" s="201" t="s">
        <v>123</v>
      </c>
      <c r="C76" s="202" t="s">
        <v>224</v>
      </c>
      <c r="D76" s="203" t="s">
        <v>4</v>
      </c>
    </row>
    <row r="77" spans="1:4" ht="15" thickBot="1" x14ac:dyDescent="0.4">
      <c r="A77" s="200" t="s">
        <v>233</v>
      </c>
      <c r="B77" s="201" t="s">
        <v>117</v>
      </c>
      <c r="C77" s="202" t="s">
        <v>231</v>
      </c>
      <c r="D77" s="203" t="s">
        <v>4</v>
      </c>
    </row>
    <row r="78" spans="1:4" ht="15" thickBot="1" x14ac:dyDescent="0.4">
      <c r="A78" s="200" t="s">
        <v>234</v>
      </c>
      <c r="B78" s="201" t="s">
        <v>123</v>
      </c>
      <c r="C78" s="202" t="s">
        <v>224</v>
      </c>
      <c r="D78" s="203" t="s">
        <v>4</v>
      </c>
    </row>
    <row r="79" spans="1:4" ht="15" thickBot="1" x14ac:dyDescent="0.4">
      <c r="A79" s="204" t="s">
        <v>235</v>
      </c>
      <c r="B79" s="201" t="s">
        <v>118</v>
      </c>
      <c r="C79" s="202" t="s">
        <v>226</v>
      </c>
      <c r="D79" s="203" t="s">
        <v>4</v>
      </c>
    </row>
    <row r="80" spans="1:4" ht="15" thickBot="1" x14ac:dyDescent="0.4">
      <c r="A80" s="200" t="s">
        <v>236</v>
      </c>
      <c r="B80" s="201" t="s">
        <v>116</v>
      </c>
      <c r="C80" s="202" t="s">
        <v>231</v>
      </c>
      <c r="D80" s="203" t="s">
        <v>4</v>
      </c>
    </row>
    <row r="81" spans="1:4" ht="15" thickBot="1" x14ac:dyDescent="0.4">
      <c r="A81" s="200" t="s">
        <v>237</v>
      </c>
      <c r="B81" s="201" t="s">
        <v>123</v>
      </c>
      <c r="C81" s="202" t="s">
        <v>231</v>
      </c>
      <c r="D81" s="203" t="s">
        <v>4</v>
      </c>
    </row>
    <row r="82" spans="1:4" ht="15" thickBot="1" x14ac:dyDescent="0.4">
      <c r="A82" s="200" t="s">
        <v>238</v>
      </c>
      <c r="B82" s="201" t="s">
        <v>108</v>
      </c>
      <c r="C82" s="202" t="s">
        <v>164</v>
      </c>
      <c r="D82" s="203" t="s">
        <v>137</v>
      </c>
    </row>
    <row r="83" spans="1:4" ht="15" thickBot="1" x14ac:dyDescent="0.4">
      <c r="A83" s="200" t="s">
        <v>239</v>
      </c>
      <c r="B83" s="201" t="s">
        <v>113</v>
      </c>
      <c r="C83" s="202" t="s">
        <v>192</v>
      </c>
      <c r="D83" s="203" t="s">
        <v>137</v>
      </c>
    </row>
    <row r="84" spans="1:4" ht="15" thickBot="1" x14ac:dyDescent="0.4">
      <c r="A84" s="200" t="s">
        <v>319</v>
      </c>
      <c r="B84" s="201" t="s">
        <v>111</v>
      </c>
      <c r="C84" s="202" t="s">
        <v>172</v>
      </c>
      <c r="D84" s="203" t="s">
        <v>137</v>
      </c>
    </row>
    <row r="85" spans="1:4" ht="15" thickBot="1" x14ac:dyDescent="0.4">
      <c r="A85" s="200" t="s">
        <v>240</v>
      </c>
      <c r="B85" s="201" t="s">
        <v>109</v>
      </c>
      <c r="C85" s="202" t="s">
        <v>194</v>
      </c>
      <c r="D85" s="203" t="s">
        <v>137</v>
      </c>
    </row>
    <row r="86" spans="1:4" ht="15" thickBot="1" x14ac:dyDescent="0.4">
      <c r="A86" s="200" t="s">
        <v>241</v>
      </c>
      <c r="B86" s="201" t="s">
        <v>110</v>
      </c>
      <c r="C86" s="202" t="s">
        <v>172</v>
      </c>
      <c r="D86" s="203" t="s">
        <v>137</v>
      </c>
    </row>
    <row r="87" spans="1:4" ht="15" thickBot="1" x14ac:dyDescent="0.4">
      <c r="A87" s="200" t="s">
        <v>242</v>
      </c>
      <c r="B87" s="201" t="s">
        <v>108</v>
      </c>
      <c r="C87" s="202" t="s">
        <v>164</v>
      </c>
      <c r="D87" s="203" t="s">
        <v>137</v>
      </c>
    </row>
    <row r="88" spans="1:4" ht="15" thickBot="1" x14ac:dyDescent="0.4">
      <c r="A88" s="200" t="s">
        <v>243</v>
      </c>
      <c r="B88" s="201" t="s">
        <v>107</v>
      </c>
      <c r="C88" s="202" t="s">
        <v>169</v>
      </c>
      <c r="D88" s="203" t="s">
        <v>137</v>
      </c>
    </row>
    <row r="89" spans="1:4" ht="15" thickBot="1" x14ac:dyDescent="0.4">
      <c r="A89" s="204" t="s">
        <v>244</v>
      </c>
      <c r="B89" s="201" t="s">
        <v>111</v>
      </c>
      <c r="C89" s="202" t="s">
        <v>158</v>
      </c>
      <c r="D89" s="203" t="s">
        <v>137</v>
      </c>
    </row>
    <row r="90" spans="1:4" ht="15" thickBot="1" x14ac:dyDescent="0.4">
      <c r="A90" s="200" t="s">
        <v>246</v>
      </c>
      <c r="B90" s="201" t="s">
        <v>151</v>
      </c>
      <c r="C90" s="202" t="s">
        <v>3</v>
      </c>
      <c r="D90" s="203" t="s">
        <v>3</v>
      </c>
    </row>
    <row r="91" spans="1:4" ht="15" thickBot="1" x14ac:dyDescent="0.4">
      <c r="A91" s="200" t="s">
        <v>247</v>
      </c>
      <c r="B91" s="201" t="s">
        <v>135</v>
      </c>
      <c r="C91" s="202" t="s">
        <v>202</v>
      </c>
      <c r="D91" s="203" t="s">
        <v>137</v>
      </c>
    </row>
    <row r="92" spans="1:4" ht="15" thickBot="1" x14ac:dyDescent="0.4">
      <c r="A92" s="200" t="s">
        <v>248</v>
      </c>
      <c r="B92" s="201" t="s">
        <v>110</v>
      </c>
      <c r="C92" s="202" t="s">
        <v>172</v>
      </c>
      <c r="D92" s="203" t="s">
        <v>137</v>
      </c>
    </row>
    <row r="93" spans="1:4" ht="15" thickBot="1" x14ac:dyDescent="0.4">
      <c r="A93" s="200" t="s">
        <v>249</v>
      </c>
      <c r="B93" s="201" t="s">
        <v>107</v>
      </c>
      <c r="C93" s="202" t="s">
        <v>169</v>
      </c>
      <c r="D93" s="203" t="s">
        <v>137</v>
      </c>
    </row>
    <row r="94" spans="1:4" ht="15" thickBot="1" x14ac:dyDescent="0.4">
      <c r="A94" s="200" t="s">
        <v>250</v>
      </c>
      <c r="B94" s="201" t="s">
        <v>112</v>
      </c>
      <c r="C94" s="202" t="s">
        <v>161</v>
      </c>
      <c r="D94" s="203" t="s">
        <v>137</v>
      </c>
    </row>
    <row r="95" spans="1:4" ht="15" thickBot="1" x14ac:dyDescent="0.4">
      <c r="A95" s="200" t="s">
        <v>251</v>
      </c>
      <c r="B95" s="201" t="s">
        <v>112</v>
      </c>
      <c r="C95" s="202" t="s">
        <v>180</v>
      </c>
      <c r="D95" s="203" t="s">
        <v>137</v>
      </c>
    </row>
    <row r="96" spans="1:4" ht="15" thickBot="1" x14ac:dyDescent="0.4">
      <c r="A96" s="204" t="s">
        <v>252</v>
      </c>
      <c r="B96" s="201" t="s">
        <v>112</v>
      </c>
      <c r="C96" s="202" t="s">
        <v>142</v>
      </c>
      <c r="D96" s="203" t="s">
        <v>137</v>
      </c>
    </row>
    <row r="97" spans="1:4" ht="15" thickBot="1" x14ac:dyDescent="0.4">
      <c r="A97" s="200" t="s">
        <v>253</v>
      </c>
      <c r="B97" s="201" t="s">
        <v>112</v>
      </c>
      <c r="C97" s="202" t="s">
        <v>161</v>
      </c>
      <c r="D97" s="203" t="s">
        <v>137</v>
      </c>
    </row>
    <row r="98" spans="1:4" ht="15" thickBot="1" x14ac:dyDescent="0.4">
      <c r="A98" s="200" t="s">
        <v>254</v>
      </c>
      <c r="B98" s="201" t="s">
        <v>113</v>
      </c>
      <c r="C98" s="202" t="s">
        <v>245</v>
      </c>
      <c r="D98" s="203" t="s">
        <v>137</v>
      </c>
    </row>
    <row r="99" spans="1:4" ht="15" thickBot="1" x14ac:dyDescent="0.4">
      <c r="A99" s="200" t="s">
        <v>255</v>
      </c>
      <c r="B99" s="201" t="s">
        <v>113</v>
      </c>
      <c r="C99" s="202" t="s">
        <v>245</v>
      </c>
      <c r="D99" s="203" t="s">
        <v>137</v>
      </c>
    </row>
    <row r="100" spans="1:4" ht="15" thickBot="1" x14ac:dyDescent="0.4">
      <c r="A100" s="200" t="s">
        <v>256</v>
      </c>
      <c r="B100" s="201" t="s">
        <v>109</v>
      </c>
      <c r="C100" s="202" t="s">
        <v>194</v>
      </c>
      <c r="D100" s="203" t="s">
        <v>137</v>
      </c>
    </row>
    <row r="101" spans="1:4" ht="15" thickBot="1" x14ac:dyDescent="0.4">
      <c r="A101" s="200" t="s">
        <v>257</v>
      </c>
      <c r="B101" s="201" t="s">
        <v>109</v>
      </c>
      <c r="C101" s="202" t="s">
        <v>194</v>
      </c>
      <c r="D101" s="203" t="s">
        <v>137</v>
      </c>
    </row>
    <row r="102" spans="1:4" ht="15" thickBot="1" x14ac:dyDescent="0.4">
      <c r="A102" s="200" t="s">
        <v>258</v>
      </c>
      <c r="B102" s="201" t="s">
        <v>108</v>
      </c>
      <c r="C102" s="202" t="s">
        <v>164</v>
      </c>
      <c r="D102" s="203" t="s">
        <v>137</v>
      </c>
    </row>
    <row r="103" spans="1:4" ht="15" thickBot="1" x14ac:dyDescent="0.4">
      <c r="A103" s="200" t="s">
        <v>259</v>
      </c>
      <c r="B103" s="201" t="s">
        <v>112</v>
      </c>
      <c r="C103" s="202" t="s">
        <v>142</v>
      </c>
      <c r="D103" s="203" t="s">
        <v>137</v>
      </c>
    </row>
    <row r="104" spans="1:4" ht="15" thickBot="1" x14ac:dyDescent="0.4">
      <c r="A104" s="200" t="s">
        <v>260</v>
      </c>
      <c r="B104" s="201" t="s">
        <v>113</v>
      </c>
      <c r="C104" s="202" t="s">
        <v>192</v>
      </c>
      <c r="D104" s="203" t="s">
        <v>137</v>
      </c>
    </row>
    <row r="105" spans="1:4" ht="15" thickBot="1" x14ac:dyDescent="0.4">
      <c r="A105" s="200" t="s">
        <v>261</v>
      </c>
      <c r="B105" s="201" t="s">
        <v>113</v>
      </c>
      <c r="C105" s="202" t="s">
        <v>192</v>
      </c>
      <c r="D105" s="203" t="s">
        <v>137</v>
      </c>
    </row>
    <row r="106" spans="1:4" ht="15" thickBot="1" x14ac:dyDescent="0.4">
      <c r="A106" s="200" t="s">
        <v>262</v>
      </c>
      <c r="B106" s="201" t="s">
        <v>114</v>
      </c>
      <c r="C106" s="202" t="s">
        <v>114</v>
      </c>
      <c r="D106" s="203" t="s">
        <v>137</v>
      </c>
    </row>
    <row r="107" spans="1:4" ht="15" thickBot="1" x14ac:dyDescent="0.4">
      <c r="A107" s="200" t="s">
        <v>263</v>
      </c>
      <c r="B107" s="201" t="s">
        <v>135</v>
      </c>
      <c r="C107" s="202" t="s">
        <v>146</v>
      </c>
      <c r="D107" s="203" t="s">
        <v>137</v>
      </c>
    </row>
    <row r="108" spans="1:4" ht="15" thickBot="1" x14ac:dyDescent="0.4">
      <c r="A108" s="200" t="s">
        <v>264</v>
      </c>
      <c r="B108" s="201" t="s">
        <v>135</v>
      </c>
      <c r="C108" s="202" t="s">
        <v>146</v>
      </c>
      <c r="D108" s="203" t="s">
        <v>137</v>
      </c>
    </row>
    <row r="109" spans="1:4" ht="15" thickBot="1" x14ac:dyDescent="0.4">
      <c r="A109" s="200" t="s">
        <v>265</v>
      </c>
      <c r="B109" s="201" t="s">
        <v>107</v>
      </c>
      <c r="C109" s="202" t="s">
        <v>169</v>
      </c>
      <c r="D109" s="203" t="s">
        <v>137</v>
      </c>
    </row>
    <row r="110" spans="1:4" ht="15" thickBot="1" x14ac:dyDescent="0.4">
      <c r="A110" s="200" t="s">
        <v>266</v>
      </c>
      <c r="B110" s="201" t="s">
        <v>114</v>
      </c>
      <c r="C110" s="202" t="s">
        <v>114</v>
      </c>
      <c r="D110" s="203" t="s">
        <v>137</v>
      </c>
    </row>
    <row r="111" spans="1:4" ht="15" thickBot="1" x14ac:dyDescent="0.4">
      <c r="A111" s="200" t="s">
        <v>267</v>
      </c>
      <c r="B111" s="201" t="s">
        <v>113</v>
      </c>
      <c r="C111" s="202" t="s">
        <v>192</v>
      </c>
      <c r="D111" s="203" t="s">
        <v>137</v>
      </c>
    </row>
    <row r="112" spans="1:4" ht="15" thickBot="1" x14ac:dyDescent="0.4">
      <c r="A112" s="200" t="s">
        <v>268</v>
      </c>
      <c r="B112" s="201" t="s">
        <v>151</v>
      </c>
      <c r="C112" s="202" t="s">
        <v>3</v>
      </c>
      <c r="D112" s="203" t="s">
        <v>3</v>
      </c>
    </row>
    <row r="113" spans="1:4" ht="15" thickBot="1" x14ac:dyDescent="0.4">
      <c r="A113" s="200" t="s">
        <v>269</v>
      </c>
      <c r="B113" s="201" t="s">
        <v>110</v>
      </c>
      <c r="C113" s="202" t="s">
        <v>172</v>
      </c>
      <c r="D113" s="203" t="s">
        <v>137</v>
      </c>
    </row>
    <row r="114" spans="1:4" ht="15" thickBot="1" x14ac:dyDescent="0.4">
      <c r="A114" s="200" t="s">
        <v>270</v>
      </c>
      <c r="B114" s="201" t="s">
        <v>110</v>
      </c>
      <c r="C114" s="202" t="s">
        <v>172</v>
      </c>
      <c r="D114" s="203" t="s">
        <v>137</v>
      </c>
    </row>
    <row r="115" spans="1:4" ht="15" thickBot="1" x14ac:dyDescent="0.4">
      <c r="A115" s="200" t="s">
        <v>271</v>
      </c>
      <c r="B115" s="201" t="s">
        <v>114</v>
      </c>
      <c r="C115" s="202" t="s">
        <v>114</v>
      </c>
      <c r="D115" s="203" t="s">
        <v>137</v>
      </c>
    </row>
    <row r="116" spans="1:4" ht="15" thickBot="1" x14ac:dyDescent="0.4">
      <c r="A116" s="200" t="s">
        <v>272</v>
      </c>
      <c r="B116" s="201" t="s">
        <v>151</v>
      </c>
      <c r="C116" s="202" t="s">
        <v>3</v>
      </c>
      <c r="D116" s="203" t="s">
        <v>3</v>
      </c>
    </row>
    <row r="117" spans="1:4" ht="15" thickBot="1" x14ac:dyDescent="0.4">
      <c r="A117" s="200" t="s">
        <v>273</v>
      </c>
      <c r="B117" s="201" t="s">
        <v>109</v>
      </c>
      <c r="C117" s="202" t="s">
        <v>174</v>
      </c>
      <c r="D117" s="203" t="s">
        <v>137</v>
      </c>
    </row>
    <row r="118" spans="1:4" ht="15" thickBot="1" x14ac:dyDescent="0.4">
      <c r="A118" s="200" t="s">
        <v>274</v>
      </c>
      <c r="B118" s="201" t="s">
        <v>111</v>
      </c>
      <c r="C118" s="202" t="s">
        <v>158</v>
      </c>
      <c r="D118" s="203" t="s">
        <v>137</v>
      </c>
    </row>
    <row r="119" spans="1:4" ht="15" thickBot="1" x14ac:dyDescent="0.4">
      <c r="A119" s="200" t="s">
        <v>275</v>
      </c>
      <c r="B119" s="201" t="s">
        <v>112</v>
      </c>
      <c r="C119" s="202" t="s">
        <v>142</v>
      </c>
      <c r="D119" s="203" t="s">
        <v>137</v>
      </c>
    </row>
    <row r="120" spans="1:4" ht="15" thickBot="1" x14ac:dyDescent="0.4">
      <c r="A120" s="200" t="s">
        <v>276</v>
      </c>
      <c r="B120" s="201" t="s">
        <v>120</v>
      </c>
      <c r="C120" s="202" t="s">
        <v>5</v>
      </c>
      <c r="D120" s="203" t="s">
        <v>5</v>
      </c>
    </row>
    <row r="121" spans="1:4" ht="15" thickBot="1" x14ac:dyDescent="0.4">
      <c r="A121" s="200" t="s">
        <v>277</v>
      </c>
      <c r="B121" s="201" t="s">
        <v>111</v>
      </c>
      <c r="C121" s="202" t="s">
        <v>158</v>
      </c>
      <c r="D121" s="203" t="s">
        <v>137</v>
      </c>
    </row>
    <row r="122" spans="1:4" ht="15" thickBot="1" x14ac:dyDescent="0.4">
      <c r="A122" s="200" t="s">
        <v>278</v>
      </c>
      <c r="B122" s="201" t="s">
        <v>111</v>
      </c>
      <c r="C122" s="202" t="s">
        <v>158</v>
      </c>
      <c r="D122" s="203" t="s">
        <v>137</v>
      </c>
    </row>
    <row r="123" spans="1:4" ht="15" thickBot="1" x14ac:dyDescent="0.4">
      <c r="A123" s="200" t="s">
        <v>279</v>
      </c>
      <c r="B123" s="201" t="s">
        <v>111</v>
      </c>
      <c r="C123" s="202" t="s">
        <v>139</v>
      </c>
      <c r="D123" s="203" t="s">
        <v>137</v>
      </c>
    </row>
    <row r="124" spans="1:4" ht="15" thickBot="1" x14ac:dyDescent="0.4">
      <c r="A124" s="200" t="s">
        <v>280</v>
      </c>
      <c r="B124" s="201" t="s">
        <v>114</v>
      </c>
      <c r="C124" s="202" t="s">
        <v>114</v>
      </c>
      <c r="D124" s="203" t="s">
        <v>137</v>
      </c>
    </row>
    <row r="125" spans="1:4" ht="15" thickBot="1" x14ac:dyDescent="0.4">
      <c r="A125" s="200" t="s">
        <v>281</v>
      </c>
      <c r="B125" s="201" t="s">
        <v>109</v>
      </c>
      <c r="C125" s="202" t="s">
        <v>167</v>
      </c>
      <c r="D125" s="203" t="s">
        <v>137</v>
      </c>
    </row>
    <row r="126" spans="1:4" ht="15" thickBot="1" x14ac:dyDescent="0.4">
      <c r="A126" s="200" t="s">
        <v>282</v>
      </c>
      <c r="B126" s="201" t="s">
        <v>110</v>
      </c>
      <c r="C126" s="202" t="s">
        <v>172</v>
      </c>
      <c r="D126" s="203" t="s">
        <v>137</v>
      </c>
    </row>
    <row r="127" spans="1:4" ht="15" thickBot="1" x14ac:dyDescent="0.4">
      <c r="A127" s="200" t="s">
        <v>283</v>
      </c>
      <c r="B127" s="201" t="s">
        <v>108</v>
      </c>
      <c r="C127" s="202" t="s">
        <v>149</v>
      </c>
      <c r="D127" s="203" t="s">
        <v>137</v>
      </c>
    </row>
    <row r="128" spans="1:4" ht="15" thickBot="1" x14ac:dyDescent="0.4">
      <c r="A128" s="204" t="s">
        <v>284</v>
      </c>
      <c r="B128" s="201" t="s">
        <v>108</v>
      </c>
      <c r="C128" s="202" t="s">
        <v>164</v>
      </c>
      <c r="D128" s="203" t="s">
        <v>137</v>
      </c>
    </row>
    <row r="129" spans="1:4" ht="15" thickBot="1" x14ac:dyDescent="0.4">
      <c r="A129" s="200" t="s">
        <v>285</v>
      </c>
      <c r="B129" s="201" t="s">
        <v>114</v>
      </c>
      <c r="C129" s="202" t="s">
        <v>114</v>
      </c>
      <c r="D129" s="203" t="s">
        <v>137</v>
      </c>
    </row>
    <row r="130" spans="1:4" ht="15" thickBot="1" x14ac:dyDescent="0.4">
      <c r="A130" s="200" t="s">
        <v>286</v>
      </c>
      <c r="B130" s="201" t="s">
        <v>135</v>
      </c>
      <c r="C130" s="202" t="s">
        <v>146</v>
      </c>
      <c r="D130" s="203" t="s">
        <v>137</v>
      </c>
    </row>
    <row r="131" spans="1:4" ht="15" thickBot="1" x14ac:dyDescent="0.4">
      <c r="A131" s="200" t="s">
        <v>287</v>
      </c>
      <c r="B131" s="201" t="s">
        <v>109</v>
      </c>
      <c r="C131" s="202" t="s">
        <v>174</v>
      </c>
      <c r="D131" s="203" t="s">
        <v>137</v>
      </c>
    </row>
    <row r="132" spans="1:4" ht="15" thickBot="1" x14ac:dyDescent="0.4">
      <c r="A132" s="200" t="s">
        <v>288</v>
      </c>
      <c r="B132" s="201" t="s">
        <v>114</v>
      </c>
      <c r="C132" s="202" t="s">
        <v>114</v>
      </c>
      <c r="D132" s="203" t="s">
        <v>137</v>
      </c>
    </row>
    <row r="133" spans="1:4" ht="15" thickBot="1" x14ac:dyDescent="0.4">
      <c r="A133" s="200" t="s">
        <v>289</v>
      </c>
      <c r="B133" s="201" t="s">
        <v>114</v>
      </c>
      <c r="C133" s="202" t="s">
        <v>114</v>
      </c>
      <c r="D133" s="203" t="s">
        <v>137</v>
      </c>
    </row>
    <row r="134" spans="1:4" ht="15" thickBot="1" x14ac:dyDescent="0.4">
      <c r="A134" s="200" t="s">
        <v>290</v>
      </c>
      <c r="B134" s="201" t="s">
        <v>111</v>
      </c>
      <c r="C134" s="202" t="s">
        <v>139</v>
      </c>
      <c r="D134" s="203" t="s">
        <v>137</v>
      </c>
    </row>
    <row r="135" spans="1:4" ht="15" thickBot="1" x14ac:dyDescent="0.4">
      <c r="A135" s="200" t="s">
        <v>291</v>
      </c>
      <c r="B135" s="201" t="s">
        <v>113</v>
      </c>
      <c r="C135" s="202" t="s">
        <v>245</v>
      </c>
      <c r="D135" s="203" t="s">
        <v>137</v>
      </c>
    </row>
    <row r="136" spans="1:4" ht="15" thickBot="1" x14ac:dyDescent="0.4">
      <c r="A136" s="200" t="s">
        <v>292</v>
      </c>
      <c r="B136" s="201" t="s">
        <v>107</v>
      </c>
      <c r="C136" s="202" t="s">
        <v>169</v>
      </c>
      <c r="D136" s="203" t="s">
        <v>137</v>
      </c>
    </row>
    <row r="137" spans="1:4" ht="15" thickBot="1" x14ac:dyDescent="0.4">
      <c r="A137" s="200" t="s">
        <v>293</v>
      </c>
      <c r="B137" s="201" t="s">
        <v>109</v>
      </c>
      <c r="C137" s="202" t="s">
        <v>194</v>
      </c>
      <c r="D137" s="203" t="s">
        <v>137</v>
      </c>
    </row>
    <row r="138" spans="1:4" ht="15" thickBot="1" x14ac:dyDescent="0.4">
      <c r="A138" s="200" t="s">
        <v>294</v>
      </c>
      <c r="B138" s="201" t="s">
        <v>112</v>
      </c>
      <c r="C138" s="202" t="s">
        <v>180</v>
      </c>
      <c r="D138" s="203" t="s">
        <v>137</v>
      </c>
    </row>
    <row r="139" spans="1:4" ht="15" thickBot="1" x14ac:dyDescent="0.4">
      <c r="A139" s="200" t="s">
        <v>295</v>
      </c>
      <c r="B139" s="201" t="s">
        <v>114</v>
      </c>
      <c r="C139" s="202" t="s">
        <v>114</v>
      </c>
      <c r="D139" s="203" t="s">
        <v>137</v>
      </c>
    </row>
    <row r="140" spans="1:4" ht="15" thickBot="1" x14ac:dyDescent="0.4">
      <c r="A140" s="200" t="s">
        <v>296</v>
      </c>
      <c r="B140" s="201" t="s">
        <v>113</v>
      </c>
      <c r="C140" s="202" t="s">
        <v>192</v>
      </c>
      <c r="D140" s="203" t="s">
        <v>137</v>
      </c>
    </row>
    <row r="141" spans="1:4" ht="15" thickBot="1" x14ac:dyDescent="0.4">
      <c r="A141" s="200" t="s">
        <v>297</v>
      </c>
      <c r="B141" s="201" t="s">
        <v>114</v>
      </c>
      <c r="C141" s="202" t="s">
        <v>114</v>
      </c>
      <c r="D141" s="203" t="s">
        <v>137</v>
      </c>
    </row>
    <row r="142" spans="1:4" ht="15" thickBot="1" x14ac:dyDescent="0.4">
      <c r="A142" s="204" t="s">
        <v>320</v>
      </c>
      <c r="B142" s="201" t="s">
        <v>113</v>
      </c>
      <c r="C142" s="202" t="s">
        <v>180</v>
      </c>
      <c r="D142" s="203" t="s">
        <v>137</v>
      </c>
    </row>
    <row r="143" spans="1:4" ht="15" thickBot="1" x14ac:dyDescent="0.4">
      <c r="A143" s="200" t="s">
        <v>298</v>
      </c>
      <c r="B143" s="201" t="s">
        <v>107</v>
      </c>
      <c r="C143" s="202" t="s">
        <v>169</v>
      </c>
      <c r="D143" s="203" t="s">
        <v>137</v>
      </c>
    </row>
    <row r="144" spans="1:4" ht="15" thickBot="1" x14ac:dyDescent="0.4">
      <c r="A144" s="205" t="s">
        <v>299</v>
      </c>
      <c r="B144" s="201" t="s">
        <v>107</v>
      </c>
      <c r="C144" s="202" t="s">
        <v>169</v>
      </c>
      <c r="D144" s="203" t="s">
        <v>137</v>
      </c>
    </row>
    <row r="145" spans="1:4" ht="15" thickBot="1" x14ac:dyDescent="0.4">
      <c r="A145" s="200" t="s">
        <v>300</v>
      </c>
      <c r="B145" s="201" t="s">
        <v>111</v>
      </c>
      <c r="C145" s="202" t="s">
        <v>156</v>
      </c>
      <c r="D145" s="203" t="s">
        <v>137</v>
      </c>
    </row>
    <row r="146" spans="1:4" ht="15" thickBot="1" x14ac:dyDescent="0.4">
      <c r="A146" s="200" t="s">
        <v>301</v>
      </c>
      <c r="B146" s="201" t="s">
        <v>114</v>
      </c>
      <c r="C146" s="202" t="s">
        <v>114</v>
      </c>
      <c r="D146" s="203" t="s">
        <v>137</v>
      </c>
    </row>
    <row r="147" spans="1:4" ht="15" thickBot="1" x14ac:dyDescent="0.4">
      <c r="A147" s="200" t="s">
        <v>302</v>
      </c>
      <c r="B147" s="201" t="s">
        <v>113</v>
      </c>
      <c r="C147" s="202" t="s">
        <v>245</v>
      </c>
      <c r="D147" s="203" t="s">
        <v>137</v>
      </c>
    </row>
    <row r="148" spans="1:4" ht="15" thickBot="1" x14ac:dyDescent="0.4">
      <c r="A148" s="200" t="s">
        <v>303</v>
      </c>
      <c r="B148" s="201" t="s">
        <v>112</v>
      </c>
      <c r="C148" s="202" t="s">
        <v>142</v>
      </c>
      <c r="D148" s="203" t="s">
        <v>137</v>
      </c>
    </row>
    <row r="149" spans="1:4" ht="15" thickBot="1" x14ac:dyDescent="0.4">
      <c r="A149" s="200" t="s">
        <v>304</v>
      </c>
      <c r="B149" s="201" t="s">
        <v>120</v>
      </c>
      <c r="C149" s="202" t="s">
        <v>5</v>
      </c>
      <c r="D149" s="203" t="s">
        <v>5</v>
      </c>
    </row>
    <row r="150" spans="1:4" ht="15" thickBot="1" x14ac:dyDescent="0.4">
      <c r="A150" s="200" t="s">
        <v>305</v>
      </c>
      <c r="B150" s="201" t="s">
        <v>114</v>
      </c>
      <c r="C150" s="202" t="s">
        <v>114</v>
      </c>
      <c r="D150" s="203" t="s">
        <v>137</v>
      </c>
    </row>
    <row r="151" spans="1:4" ht="15" thickBot="1" x14ac:dyDescent="0.4">
      <c r="A151" s="200" t="s">
        <v>306</v>
      </c>
      <c r="B151" s="201" t="s">
        <v>111</v>
      </c>
      <c r="C151" s="202" t="s">
        <v>139</v>
      </c>
      <c r="D151" s="203" t="s">
        <v>137</v>
      </c>
    </row>
    <row r="152" spans="1:4" ht="15" thickBot="1" x14ac:dyDescent="0.4">
      <c r="A152" s="200" t="s">
        <v>307</v>
      </c>
      <c r="B152" s="201" t="s">
        <v>108</v>
      </c>
      <c r="C152" s="202" t="s">
        <v>149</v>
      </c>
      <c r="D152" s="203" t="s">
        <v>137</v>
      </c>
    </row>
    <row r="153" spans="1:4" ht="15" thickBot="1" x14ac:dyDescent="0.4">
      <c r="A153" s="204" t="s">
        <v>308</v>
      </c>
      <c r="B153" s="201" t="s">
        <v>108</v>
      </c>
      <c r="C153" s="202" t="s">
        <v>164</v>
      </c>
      <c r="D153" s="203" t="s">
        <v>137</v>
      </c>
    </row>
    <row r="154" spans="1:4" ht="15" thickBot="1" x14ac:dyDescent="0.4">
      <c r="A154" s="200" t="s">
        <v>309</v>
      </c>
      <c r="B154" s="201" t="s">
        <v>151</v>
      </c>
      <c r="C154" s="202" t="s">
        <v>3</v>
      </c>
      <c r="D154" s="203" t="s">
        <v>3</v>
      </c>
    </row>
    <row r="155" spans="1:4" ht="15" thickBot="1" x14ac:dyDescent="0.4">
      <c r="A155" s="200" t="s">
        <v>310</v>
      </c>
      <c r="B155" s="201" t="s">
        <v>109</v>
      </c>
      <c r="C155" s="202" t="s">
        <v>194</v>
      </c>
      <c r="D155" s="203" t="s">
        <v>137</v>
      </c>
    </row>
    <row r="156" spans="1:4" ht="15" thickBot="1" x14ac:dyDescent="0.4">
      <c r="A156" s="200" t="s">
        <v>311</v>
      </c>
      <c r="B156" s="201" t="s">
        <v>111</v>
      </c>
      <c r="C156" s="202" t="s">
        <v>139</v>
      </c>
      <c r="D156" s="203" t="s">
        <v>137</v>
      </c>
    </row>
    <row r="157" spans="1:4" ht="15" thickBot="1" x14ac:dyDescent="0.4">
      <c r="A157" s="200" t="s">
        <v>312</v>
      </c>
      <c r="B157" s="201" t="s">
        <v>114</v>
      </c>
      <c r="C157" s="202" t="s">
        <v>114</v>
      </c>
      <c r="D157" s="203" t="s">
        <v>137</v>
      </c>
    </row>
    <row r="158" spans="1:4" ht="15" thickBot="1" x14ac:dyDescent="0.4">
      <c r="A158" s="200" t="s">
        <v>313</v>
      </c>
      <c r="B158" s="201" t="s">
        <v>111</v>
      </c>
      <c r="C158" s="202" t="s">
        <v>158</v>
      </c>
      <c r="D158" s="203" t="s">
        <v>137</v>
      </c>
    </row>
    <row r="159" spans="1:4" ht="15" thickBot="1" x14ac:dyDescent="0.4">
      <c r="A159" s="200" t="s">
        <v>314</v>
      </c>
      <c r="B159" s="201" t="s">
        <v>114</v>
      </c>
      <c r="C159" s="202" t="s">
        <v>114</v>
      </c>
      <c r="D159" s="203" t="s">
        <v>137</v>
      </c>
    </row>
    <row r="160" spans="1:4" ht="15" thickBot="1" x14ac:dyDescent="0.4">
      <c r="A160" s="200" t="s">
        <v>315</v>
      </c>
      <c r="B160" s="201" t="s">
        <v>135</v>
      </c>
      <c r="C160" s="202" t="s">
        <v>202</v>
      </c>
      <c r="D160" s="203" t="s">
        <v>137</v>
      </c>
    </row>
  </sheetData>
  <autoFilter ref="A1:D1" xr:uid="{E2E43878-21A2-44CC-AE53-D05029837FF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UK National CR data 2023</vt:lpstr>
      <vt:lpstr>UK Regional CR data 2023</vt:lpstr>
      <vt:lpstr>Methodology</vt:lpstr>
      <vt:lpstr>Trusts HBs and regions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Alexander Burns</dc:creator>
  <cp:keywords/>
  <dc:description/>
  <cp:lastModifiedBy>Joanna Lourenco</cp:lastModifiedBy>
  <cp:revision/>
  <dcterms:created xsi:type="dcterms:W3CDTF">2023-03-15T08:50:47Z</dcterms:created>
  <dcterms:modified xsi:type="dcterms:W3CDTF">2024-06-07T09:29:07Z</dcterms:modified>
  <cp:category/>
  <cp:contentStatus/>
</cp:coreProperties>
</file>